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rticle figures" sheetId="2" state="visible" r:id="rId2"/>
    <sheet xmlns:r="http://schemas.openxmlformats.org/officeDocument/2006/relationships" name="School totals" sheetId="3" state="visible" r:id="rId3"/>
    <sheet xmlns:r="http://schemas.openxmlformats.org/officeDocument/2006/relationships" name="Kindergarten" sheetId="4" state="visible" r:id="rId4"/>
    <sheet xmlns:r="http://schemas.openxmlformats.org/officeDocument/2006/relationships" name="Department cross-check" sheetId="5" state="visible" r:id="rId5"/>
    <sheet xmlns:r="http://schemas.openxmlformats.org/officeDocument/2006/relationships" name="Council-area kindergarten" sheetId="6" state="visible" r:id="rId6"/>
    <sheet xmlns:r="http://schemas.openxmlformats.org/officeDocument/2006/relationships" name="Nearby public primaries" sheetId="7" state="visible" r:id="rId7"/>
    <sheet xmlns:r="http://schemas.openxmlformats.org/officeDocument/2006/relationships" name="NSW primary enrolments" sheetId="8" state="visible" r:id="rId8"/>
    <sheet xmlns:r="http://schemas.openxmlformats.org/officeDocument/2006/relationships" name="Schools in the six councils" sheetId="9" state="visible" r:id="rId9"/>
    <sheet xmlns:r="http://schemas.openxmlformats.org/officeDocument/2006/relationships" name="Six councils" sheetId="10" state="visible" r:id="rId10"/>
    <sheet xmlns:r="http://schemas.openxmlformats.org/officeDocument/2006/relationships" name="Sector kindergarten" sheetId="11" state="visible" r:id="rId11"/>
    <sheet xmlns:r="http://schemas.openxmlformats.org/officeDocument/2006/relationships" name="Private kindy and births" sheetId="12" state="visible" r:id="rId12"/>
    <sheet xmlns:r="http://schemas.openxmlformats.org/officeDocument/2006/relationships" name="Census sector shares" sheetId="13" state="visible" r:id="rId13"/>
    <sheet xmlns:r="http://schemas.openxmlformats.org/officeDocument/2006/relationships" name="Moving house" sheetId="14" state="visible" r:id="rId14"/>
    <sheet xmlns:r="http://schemas.openxmlformats.org/officeDocument/2006/relationships" name="Resident children ratio" sheetId="15" state="visible" r:id="rId15"/>
    <sheet xmlns:r="http://schemas.openxmlformats.org/officeDocument/2006/relationships" name="Areas within Lane Cove" sheetId="16" state="visible" r:id="rId16"/>
    <sheet xmlns:r="http://schemas.openxmlformats.org/officeDocument/2006/relationships" name="Mowbray and the boundary" sheetId="17" state="visible" r:id="rId17"/>
    <sheet xmlns:r="http://schemas.openxmlformats.org/officeDocument/2006/relationships" name="Five-year-olds" sheetId="18" state="visible" r:id="rId18"/>
    <sheet xmlns:r="http://schemas.openxmlformats.org/officeDocument/2006/relationships" name="Enrolment caps" sheetId="19" state="visible" r:id="rId19"/>
    <sheet xmlns:r="http://schemas.openxmlformats.org/officeDocument/2006/relationships" name="Zone changes" sheetId="20" state="visible" r:id="rId20"/>
    <sheet xmlns:r="http://schemas.openxmlformats.org/officeDocument/2006/relationships" name="Year 4 to Year 5" sheetId="21" state="visible" r:id="rId21"/>
    <sheet xmlns:r="http://schemas.openxmlformats.org/officeDocument/2006/relationships" name="Year 5 intake, private schools" sheetId="22" state="visible" r:id="rId22"/>
    <sheet xmlns:r="http://schemas.openxmlformats.org/officeDocument/2006/relationships" name="Births and under-fives" sheetId="23" state="visible" r:id="rId23"/>
    <sheet xmlns:r="http://schemas.openxmlformats.org/officeDocument/2006/relationships" name="Kindergarten projection" sheetId="24" state="visible" r:id="rId24"/>
    <sheet xmlns:r="http://schemas.openxmlformats.org/officeDocument/2006/relationships" name="Births by financial year" sheetId="25" state="visible" r:id="rId25"/>
    <sheet xmlns:r="http://schemas.openxmlformats.org/officeDocument/2006/relationships" name="Fertility by council" sheetId="26" state="visible" r:id="rId26"/>
    <sheet xmlns:r="http://schemas.openxmlformats.org/officeDocument/2006/relationships" name="Population 2024-25" sheetId="27" state="visible" r:id="rId27"/>
    <sheet xmlns:r="http://schemas.openxmlformats.org/officeDocument/2006/relationships" name="Housing (Census 2021)" sheetId="28" state="visible" r:id="rId28"/>
    <sheet xmlns:r="http://schemas.openxmlformats.org/officeDocument/2006/relationships" name="School figures 2026" sheetId="29" state="visible" r:id="rId29"/>
    <sheet xmlns:r="http://schemas.openxmlformats.org/officeDocument/2006/relationships" name="Sources" sheetId="30" state="visible" r:id="rId30"/>
  </sheets>
  <definedNames>
    <definedName name="_xlnm.Print_Titles" localSheetId="1">'Article figures'!$4:$4</definedName>
    <definedName name="_xlnm.Print_Titles" localSheetId="4">'Department cross-check'!$4:$6</definedName>
    <definedName name="_xlnm.Print_Titles" localSheetId="5">'Council-area kindergarten'!$4:$6</definedName>
    <definedName name="_xlnm.Print_Titles" localSheetId="6">'Nearby public primaries'!$4:$4</definedName>
    <definedName name="_xlnm.Print_Titles" localSheetId="7">'NSW primary enrolments'!$4:$4</definedName>
    <definedName name="_xlnm.Print_Titles" localSheetId="8">'Schools in the six councils'!$4:$4</definedName>
    <definedName name="_xlnm.Print_Titles" localSheetId="13">'Moving house'!$4:$4</definedName>
    <definedName name="_xlnm.Print_Titles" localSheetId="16">'Mowbray and the boundary'!$4:$4</definedName>
    <definedName name="_xlnm.Print_Titles" localSheetId="17">'Five-year-olds'!$4:$4</definedName>
    <definedName name="_xlnm.Print_Titles" localSheetId="20">'Year 4 to Year 5'!$4:$4</definedName>
    <definedName name="_xlnm.Print_Titles" localSheetId="21">'Year 5 intake, private schools'!$4:$4</definedName>
    <definedName name="_xlnm.Print_Titles" localSheetId="29">'Sources'!$4:$4</definedName>
  </definedNames>
  <calcPr calcId="124519" fullCalcOnLoad="1"/>
</workbook>
</file>

<file path=xl/styles.xml><?xml version="1.0" encoding="utf-8"?>
<styleSheet xmlns="http://schemas.openxmlformats.org/spreadsheetml/2006/main">
  <numFmts count="8">
    <numFmt numFmtId="164" formatCode="+0.0%;-0.0%;0.0%"/>
    <numFmt numFmtId="165" formatCode="+#,##0;-#,##0;0"/>
    <numFmt numFmtId="166" formatCode="0;-0;&quot;none&quot;"/>
    <numFmt numFmtId="167" formatCode="#,##0.0"/>
    <numFmt numFmtId="168" formatCode="+#,##0.0;-#,##0.0;0.0"/>
    <numFmt numFmtId="169" formatCode="0.0%"/>
    <numFmt numFmtId="170" formatCode="0.000"/>
    <numFmt numFmtId="171" formatCode="+0.00;-0.00;0.00"/>
  </numFmts>
  <fonts count="12">
    <font>
      <name val="Calibri"/>
      <family val="2"/>
      <color theme="1"/>
      <sz val="11"/>
      <scheme val="minor"/>
    </font>
    <font>
      <name val="Arial"/>
      <b val="1"/>
      <color rgb="00CA2027"/>
      <sz val="13"/>
    </font>
    <font>
      <name val="Arial"/>
      <i val="1"/>
      <color rgb="00555555"/>
      <sz val="10"/>
    </font>
    <font>
      <name val="Arial"/>
      <b val="1"/>
      <color rgb="00111111"/>
      <sz val="10"/>
    </font>
    <font>
      <name val="Arial"/>
      <color rgb="00111111"/>
      <sz val="10"/>
    </font>
    <font>
      <name val="Arial"/>
      <color rgb="00555555"/>
      <sz val="9"/>
    </font>
    <font>
      <name val="Arial"/>
      <color rgb="000563C1"/>
      <sz val="10"/>
      <u val="single"/>
    </font>
    <font>
      <name val="Arial"/>
      <i val="1"/>
      <color rgb="00111111"/>
      <sz val="10"/>
    </font>
    <font>
      <name val="Arial"/>
      <b val="1"/>
      <color rgb="00CA2027"/>
      <sz val="16"/>
    </font>
    <font>
      <name val="Arial"/>
      <b val="1"/>
      <color rgb="00CA2027"/>
      <sz val="12"/>
    </font>
    <font>
      <name val="Arial"/>
      <b val="1"/>
      <color rgb="000563C1"/>
      <sz val="10"/>
      <u val="single"/>
    </font>
    <font>
      <name val="Arial"/>
      <i val="1"/>
      <color rgb="000563C1"/>
      <sz val="10"/>
      <u val="single"/>
    </font>
  </fonts>
  <fills count="5">
    <fill>
      <patternFill/>
    </fill>
    <fill>
      <patternFill patternType="gray125"/>
    </fill>
    <fill>
      <patternFill patternType="solid">
        <fgColor rgb="00FBECEC"/>
      </patternFill>
    </fill>
    <fill>
      <patternFill patternType="solid">
        <fgColor rgb="00EFEFEF"/>
      </patternFill>
    </fill>
    <fill>
      <patternFill patternType="solid">
        <fgColor rgb="00FFF4CC"/>
      </patternFill>
    </fill>
  </fills>
  <borders count="6">
    <border>
      <left/>
      <right/>
      <top/>
      <bottom/>
      <diagonal/>
    </border>
    <border>
      <left style="thin">
        <color rgb="00D4D4D4"/>
      </left>
      <right style="thin">
        <color rgb="00D4D4D4"/>
      </right>
      <top style="thin">
        <color rgb="00D4D4D4"/>
      </top>
      <bottom style="thin">
        <color rgb="00D4D4D4"/>
      </bottom>
    </border>
    <border>
      <left/>
      <right/>
      <top style="thin">
        <color rgb="00D4D4D4"/>
      </top>
      <bottom/>
      <diagonal/>
    </border>
    <border>
      <left/>
      <right style="thin">
        <color rgb="00D4D4D4"/>
      </right>
      <top style="thin">
        <color rgb="00D4D4D4"/>
      </top>
      <bottom/>
      <diagonal/>
    </border>
    <border>
      <left/>
      <right/>
      <top style="thin">
        <color rgb="00D4D4D4"/>
      </top>
      <bottom style="thin">
        <color rgb="00D4D4D4"/>
      </bottom>
      <diagonal/>
    </border>
    <border>
      <left/>
      <right style="thin">
        <color rgb="00D4D4D4"/>
      </right>
      <top style="thin">
        <color rgb="00D4D4D4"/>
      </top>
      <bottom style="thin">
        <color rgb="00D4D4D4"/>
      </bottom>
      <diagonal/>
    </border>
  </borders>
  <cellStyleXfs count="1">
    <xf numFmtId="0" fontId="0" fillId="0" borderId="0"/>
  </cellStyleXfs>
  <cellXfs count="65">
    <xf numFmtId="0" fontId="0" fillId="0" borderId="0" pivotButton="0" quotePrefix="0" xfId="0"/>
    <xf numFmtId="0" fontId="8"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1" fontId="4" fillId="0" borderId="1" applyAlignment="1" pivotButton="0" quotePrefix="0" xfId="0">
      <alignment horizontal="left" vertical="top" wrapText="1"/>
    </xf>
    <xf numFmtId="3" fontId="4" fillId="3" borderId="1" applyAlignment="1" pivotButton="0" quotePrefix="0" xfId="0">
      <alignment vertical="top" wrapText="1"/>
    </xf>
    <xf numFmtId="0" fontId="6" fillId="0" borderId="1" applyAlignment="1" pivotButton="0" quotePrefix="0" xfId="0">
      <alignment vertical="top" wrapText="1"/>
    </xf>
    <xf numFmtId="1" fontId="4" fillId="3" borderId="1" applyAlignment="1" pivotButton="0" quotePrefix="0" xfId="0">
      <alignment vertical="top" wrapText="1"/>
    </xf>
    <xf numFmtId="167" fontId="4" fillId="3" borderId="1" applyAlignment="1" pivotButton="0" quotePrefix="0" xfId="0">
      <alignment vertical="top" wrapText="1"/>
    </xf>
    <xf numFmtId="3" fontId="4" fillId="0" borderId="1" applyAlignment="1" pivotButton="0" quotePrefix="0" xfId="0">
      <alignment horizontal="left" vertical="top" wrapText="1"/>
    </xf>
    <xf numFmtId="164" fontId="4" fillId="3" borderId="1" applyAlignment="1" pivotButton="0" quotePrefix="0" xfId="0">
      <alignment vertical="top" wrapText="1"/>
    </xf>
    <xf numFmtId="166" fontId="4" fillId="3" borderId="1" applyAlignment="1" pivotButton="0" quotePrefix="0" xfId="0">
      <alignment vertical="top" wrapText="1"/>
    </xf>
    <xf numFmtId="0" fontId="4" fillId="3" borderId="1" applyAlignment="1" pivotButton="0" quotePrefix="0" xfId="0">
      <alignment vertical="top" wrapText="1"/>
    </xf>
    <xf numFmtId="165" fontId="4" fillId="3" borderId="1" applyAlignment="1" pivotButton="0" quotePrefix="0" xfId="0">
      <alignment vertical="top" wrapText="1"/>
    </xf>
    <xf numFmtId="169" fontId="4" fillId="3" borderId="1" applyAlignment="1" pivotButton="0" quotePrefix="0" xfId="0">
      <alignment vertical="top" wrapText="1"/>
    </xf>
    <xf numFmtId="170" fontId="4" fillId="3" borderId="1" applyAlignment="1" pivotButton="0" quotePrefix="0" xfId="0">
      <alignment vertical="top" wrapText="1"/>
    </xf>
    <xf numFmtId="2" fontId="4" fillId="0" borderId="1" applyAlignment="1" pivotButton="0" quotePrefix="0" xfId="0">
      <alignment horizontal="left" vertical="top" wrapText="1"/>
    </xf>
    <xf numFmtId="2" fontId="4" fillId="3" borderId="1" applyAlignment="1" pivotButton="0" quotePrefix="0" xfId="0">
      <alignment vertical="top" wrapText="1"/>
    </xf>
    <xf numFmtId="0" fontId="11" fillId="0" borderId="0" pivotButton="0" quotePrefix="0" xfId="0"/>
    <xf numFmtId="0" fontId="3" fillId="2" borderId="1" applyAlignment="1" pivotButton="0" quotePrefix="0" xfId="0">
      <alignment horizontal="left" vertical="top" wrapText="1"/>
    </xf>
    <xf numFmtId="0" fontId="3" fillId="2" borderId="1" pivotButton="0" quotePrefix="0" xfId="0"/>
    <xf numFmtId="0" fontId="5" fillId="0" borderId="1" applyAlignment="1" pivotButton="0" quotePrefix="0" xfId="0">
      <alignment vertical="top" wrapText="1"/>
    </xf>
    <xf numFmtId="1" fontId="5" fillId="0" borderId="1" applyAlignment="1" pivotButton="0" quotePrefix="0" xfId="0">
      <alignment vertical="top" wrapText="1"/>
    </xf>
    <xf numFmtId="0" fontId="7" fillId="0" borderId="0" applyAlignment="1" pivotButton="0" quotePrefix="0" xfId="0">
      <alignment vertical="top" wrapText="1"/>
    </xf>
    <xf numFmtId="1" fontId="3" fillId="0" borderId="1" applyAlignment="1" pivotButton="0" quotePrefix="0" xfId="0">
      <alignment horizontal="left" vertical="top"/>
    </xf>
    <xf numFmtId="3" fontId="4" fillId="0" borderId="1" pivotButton="0" quotePrefix="0" xfId="0"/>
    <xf numFmtId="3" fontId="4" fillId="3" borderId="1" pivotButton="0" quotePrefix="0" xfId="0"/>
    <xf numFmtId="0" fontId="3" fillId="0" borderId="1" applyAlignment="1" pivotButton="0" quotePrefix="0" xfId="0">
      <alignment vertical="top" wrapText="1"/>
    </xf>
    <xf numFmtId="1" fontId="4" fillId="0" borderId="1" applyAlignment="1" pivotButton="0" quotePrefix="0" xfId="0">
      <alignment horizontal="right" vertical="top"/>
    </xf>
    <xf numFmtId="49" fontId="4" fillId="0" borderId="1" applyAlignment="1" pivotButton="0" quotePrefix="0" xfId="0">
      <alignment horizontal="right" vertical="top"/>
    </xf>
    <xf numFmtId="164" fontId="4" fillId="3" borderId="1" pivotButton="0" quotePrefix="0" xfId="0"/>
    <xf numFmtId="165" fontId="4" fillId="3" borderId="1" pivotButton="0" quotePrefix="0" xfId="0"/>
    <xf numFmtId="166" fontId="4" fillId="3" borderId="1" pivotButton="0" quotePrefix="0" xfId="0"/>
    <xf numFmtId="1" fontId="4" fillId="3" borderId="1" pivotButton="0" quotePrefix="0" xfId="0"/>
    <xf numFmtId="0" fontId="4" fillId="3" borderId="1" pivotButton="0" quotePrefix="0" xfId="0"/>
    <xf numFmtId="0" fontId="6" fillId="0" borderId="0" pivotButton="0" quotePrefix="0" xfId="0"/>
    <xf numFmtId="0" fontId="4" fillId="0" borderId="1" pivotButton="0" quotePrefix="0" xfId="0"/>
    <xf numFmtId="167" fontId="4" fillId="3" borderId="1" pivotButton="0" quotePrefix="0" xfId="0"/>
    <xf numFmtId="168" fontId="4" fillId="3" borderId="1" pivotButton="0" quotePrefix="0" xfId="0"/>
    <xf numFmtId="0" fontId="0" fillId="0" borderId="4" pivotButton="0" quotePrefix="0" xfId="0"/>
    <xf numFmtId="0" fontId="0" fillId="0" borderId="5" pivotButton="0" quotePrefix="0" xfId="0"/>
    <xf numFmtId="1" fontId="3" fillId="2" borderId="1" applyAlignment="1" pivotButton="0" quotePrefix="0" xfId="0">
      <alignment horizontal="left" vertical="top" wrapText="1"/>
    </xf>
    <xf numFmtId="1" fontId="4" fillId="0" borderId="1" pivotButton="0" quotePrefix="0" xfId="0"/>
    <xf numFmtId="1" fontId="4" fillId="0" borderId="1" applyAlignment="1" pivotButton="0" quotePrefix="0" xfId="0">
      <alignment horizontal="center"/>
    </xf>
    <xf numFmtId="0" fontId="3" fillId="2" borderId="1" applyAlignment="1" pivotButton="0" quotePrefix="0" xfId="0">
      <alignment horizontal="center" vertical="top" wrapText="1"/>
    </xf>
    <xf numFmtId="167" fontId="4" fillId="4" borderId="1" pivotButton="0" quotePrefix="0" xfId="0"/>
    <xf numFmtId="169" fontId="4" fillId="3" borderId="1" pivotButton="0" quotePrefix="0" xfId="0"/>
    <xf numFmtId="170" fontId="4" fillId="3" borderId="1" pivotButton="0" quotePrefix="0" xfId="0"/>
    <xf numFmtId="169" fontId="4" fillId="0" borderId="1" pivotButton="0" quotePrefix="0" xfId="0"/>
    <xf numFmtId="2" fontId="4" fillId="3" borderId="1" pivotButton="0" quotePrefix="0" xfId="0"/>
    <xf numFmtId="170" fontId="4" fillId="0" borderId="1" pivotButton="0" quotePrefix="0" xfId="0"/>
    <xf numFmtId="165" fontId="4" fillId="0" borderId="1" pivotButton="0" quotePrefix="0" xfId="0"/>
    <xf numFmtId="2" fontId="4" fillId="0" borderId="1" pivotButton="0" quotePrefix="0" xfId="0"/>
    <xf numFmtId="171" fontId="4" fillId="3" borderId="1" pivotButton="0" quotePrefix="0" xfId="0"/>
    <xf numFmtId="0" fontId="4" fillId="0" borderId="1" applyAlignment="1" pivotButton="0" quotePrefix="0" xfId="0">
      <alignment vertical="top"/>
    </xf>
    <xf numFmtId="3" fontId="4" fillId="0" borderId="1" applyAlignment="1" pivotButton="0" quotePrefix="0" xfId="0">
      <alignment vertical="top"/>
    </xf>
    <xf numFmtId="0" fontId="6" fillId="0" borderId="1"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thecove.com.au/2026/04/20/lane-cove-school-enrolments-falling-data/" TargetMode="External" Id="rId1"/><Relationship Type="http://schemas.openxmlformats.org/officeDocument/2006/relationships/hyperlink" Target="https://data.api.abs.gov.au/rest/data/ABS,ERP_ASGS2021,1.0.0/ERP.3.A04+A59..121011686+121011685.A?format=csvfilewithlabel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acara.edu.au/contact-us/acara-data-access" TargetMode="External" Id="rId5"/><Relationship Type="http://schemas.openxmlformats.org/officeDocument/2006/relationships/hyperlink" Target="https://acara.edu.au/contact-us/acara-data-access" TargetMode="External" Id="rId6"/><Relationship Type="http://schemas.openxmlformats.org/officeDocument/2006/relationships/hyperlink" Target="https://acara.edu.au/contact-us/acara-data-access" TargetMode="External" Id="rId7"/><Relationship Type="http://schemas.openxmlformats.org/officeDocument/2006/relationships/hyperlink" Target="https://www.abs.gov.au/statistics/people/education/schools/2025/Table%2042b%20Number%20of%20full-time%20and%20part-time%20students%2C%202006-2025.xlsx" TargetMode="External" Id="rId8"/><Relationship Type="http://schemas.openxmlformats.org/officeDocument/2006/relationships/hyperlink" Target="https://acara.edu.au/contact-us/acara-data-access" TargetMode="External" Id="rId9"/><Relationship Type="http://schemas.openxmlformats.org/officeDocument/2006/relationships/hyperlink" Target="https://acara.edu.au/contact-us/acara-data-access" TargetMode="External" Id="rId10"/><Relationship Type="http://schemas.openxmlformats.org/officeDocument/2006/relationships/hyperlink" Target="https://acara.edu.au/contact-us/acara-data-access" TargetMode="External" Id="rId11"/><Relationship Type="http://schemas.openxmlformats.org/officeDocument/2006/relationships/hyperlink" Target="https://data.api.abs.gov.au/rest/data/C21_T13_LGA/2+21+22+23.3.14700+18250+14100+15950+15350+16700..?format=csvfilewithlabels" TargetMode="External" Id="rId12"/><Relationship Type="http://schemas.openxmlformats.org/officeDocument/2006/relationships/hyperlink" Target="https://www.abs.gov.au/statistics/people/population/regional-population-age-and-sex/2025/32350DS0006_2001-25.xlsx" TargetMode="External" Id="rId13"/><Relationship Type="http://schemas.openxmlformats.org/officeDocument/2006/relationships/hyperlink" Target="https://acara.edu.au/contact-us/acara-data-access" TargetMode="External" Id="rId14"/><Relationship Type="http://schemas.openxmlformats.org/officeDocument/2006/relationships/hyperlink" Target="https://www.abs.gov.au/statistics/people/population/regional-population-age-and-sex/2025/32350DS0006_2001-25.xlsx" TargetMode="External" Id="rId15"/><Relationship Type="http://schemas.openxmlformats.org/officeDocument/2006/relationships/hyperlink" Target="https://data.nsw.gov.au/data/dataset/nsw-education-school-intake-zones-catchment-areas-for-nsw-government-schools" TargetMode="External" Id="rId16"/><Relationship Type="http://schemas.openxmlformats.org/officeDocument/2006/relationships/hyperlink" Target="https://www.abs.gov.au/statistics/people/population/regional-population-age-and-sex/2025/32350DS0006_2001-25.xlsx" TargetMode="External" Id="rId17"/><Relationship Type="http://schemas.openxmlformats.org/officeDocument/2006/relationships/hyperlink" Target="https://www.parliament.nsw.gov.au/lcdocs/other/13326/Attachment%20B%20for%20Q355.pdf" TargetMode="External" Id="rId18"/><Relationship Type="http://schemas.openxmlformats.org/officeDocument/2006/relationships/hyperlink" Target="https://data.nsw.gov.au/data/dataset/nsw-education-school-intake-zones-catchment-areas-for-nsw-government-schools" TargetMode="External" Id="rId19"/><Relationship Type="http://schemas.openxmlformats.org/officeDocument/2006/relationships/hyperlink" Target="https://acara.edu.au/contact-us/acara-data-access" TargetMode="External" Id="rId20"/><Relationship Type="http://schemas.openxmlformats.org/officeDocument/2006/relationships/hyperlink" Target="https://acara.edu.au/contact-us/acara-data-access" TargetMode="External" Id="rId21"/><Relationship Type="http://schemas.openxmlformats.org/officeDocument/2006/relationships/hyperlink" Target="https://www.abs.gov.au/statistics/people/population/births-australia/2024/33010DC03.xlsx" TargetMode="External" Id="rId22"/><Relationship Type="http://schemas.openxmlformats.org/officeDocument/2006/relationships/hyperlink" Target="https://dataexplorer.abs.gov.au/vis?tm=ERP_COMP_LGA2025&amp;pg=0&amp;df%5Bds%5D=ABS_ABS_TOPICS&amp;df%5Bid%5D=ERP_COMP_LGA2025&amp;df%5Bag%5D=ABS&amp;df%5Bvs%5D=1.0.0" TargetMode="External" Id="rId23"/><Relationship Type="http://schemas.openxmlformats.org/officeDocument/2006/relationships/hyperlink" Target="https://www.abs.gov.au/statistics/people/population/births-australia/2024/33010DC03.xlsx" TargetMode="External" Id="rId24"/><Relationship Type="http://schemas.openxmlformats.org/officeDocument/2006/relationships/hyperlink" Target="https://www.abs.gov.au/statistics/people/population/regional-population/2024-25/32180DS0002_2024-25.xlsx" TargetMode="External" Id="rId25"/><Relationship Type="http://schemas.openxmlformats.org/officeDocument/2006/relationships/hyperlink" Target="https://www.abs.gov.au/census/find-census-data/quickstats/2021/LGA14700" TargetMode="External" Id="rId26"/><Relationship Type="http://schemas.openxmlformats.org/officeDocument/2006/relationships/hyperlink" Target="https://www.abs.gov.au/census/guide-census-data/mesh-block-counts/latest-release" TargetMode="External" Id="rId27"/><Relationship Type="http://schemas.openxmlformats.org/officeDocument/2006/relationships/hyperlink" Target="https://acara.edu.au/contact-us/acara-data-access" TargetMode="External" Id="rId28"/><Relationship Type="http://schemas.openxmlformats.org/officeDocument/2006/relationships/hyperlink" Target="https://acara.edu.au/contact-us/acara-data-access" TargetMode="External" Id="rId29"/><Relationship Type="http://schemas.openxmlformats.org/officeDocument/2006/relationships/hyperlink" Target="https://www.abs.gov.au/statistics/people/education/schools/2025/Table%2042b%20Number%20of%20full-time%20and%20part-time%20students%2C%202006-2025.xlsx" TargetMode="External" Id="rId30"/><Relationship Type="http://schemas.openxmlformats.org/officeDocument/2006/relationships/hyperlink" Target="https://acara.edu.au/contact-us/acara-data-access" TargetMode="External" Id="rId31"/><Relationship Type="http://schemas.openxmlformats.org/officeDocument/2006/relationships/hyperlink" Target="https://acara.edu.au/contact-us/acara-data-access" TargetMode="External" Id="rId32"/><Relationship Type="http://schemas.openxmlformats.org/officeDocument/2006/relationships/hyperlink" Target="https://www.abs.gov.au/statistics/people/population/births-australia/2024/33010DC03.xlsx" TargetMode="External" Id="rId33"/><Relationship Type="http://schemas.openxmlformats.org/officeDocument/2006/relationships/hyperlink" Target="https://www.abs.gov.au/statistics/people/population/regional-population-age-and-sex/2025/32350DS0006_2001-25.xlsx" TargetMode="External" Id="rId34"/><Relationship Type="http://schemas.openxmlformats.org/officeDocument/2006/relationships/hyperlink" Target="https://www.abs.gov.au/statistics/people/population/births-australia/2024/33010DC03.xlsx" TargetMode="External" Id="rId35"/><Relationship Type="http://schemas.openxmlformats.org/officeDocument/2006/relationships/hyperlink" Target="https://www.planning.nsw.gov.au/data-and-resources/population-projections" TargetMode="External" Id="rId36"/><Relationship Type="http://schemas.openxmlformats.org/officeDocument/2006/relationships/hyperlink" Target="https://www.abs.gov.au/statistics/people/population/regional-population-age-and-sex/2025/32350DS0006_2001-25.xlsx" TargetMode="External" Id="rId37"/><Relationship Type="http://schemas.openxmlformats.org/officeDocument/2006/relationships/hyperlink" Target="https://data.api.abs.gov.au/rest/data/C21_T13_LGA/2+21+22+23.3.14700+18250+14100+15950+15350+16700..?format=csvfilewithlabels" TargetMode="External" Id="rId38"/><Relationship Type="http://schemas.openxmlformats.org/officeDocument/2006/relationships/hyperlink" Target="https://acara.edu.au/contact-us/acara-data-access" TargetMode="External" Id="rId39"/><Relationship Type="http://schemas.openxmlformats.org/officeDocument/2006/relationships/hyperlink" Target="https://acara.edu.au/contact-us/acara-data-access" TargetMode="External" Id="rId40"/><Relationship Type="http://schemas.openxmlformats.org/officeDocument/2006/relationships/hyperlink" Target="https://data.api.abs.gov.au/rest/data/ABS,ERP_ASGS2021,1.0.0/ERP.3.A04+A59..121011686+121011685.A?format=csvfilewithlabels" TargetMode="External" Id="rId41"/><Relationship Type="http://schemas.openxmlformats.org/officeDocument/2006/relationships/hyperlink" Target="https://acara.edu.au/contact-us/acara-data-access" TargetMode="External" Id="rId42"/><Relationship Type="http://schemas.openxmlformats.org/officeDocument/2006/relationships/hyperlink" Target="https://data.nsw.gov.au/data/dataset/nsw-education-nsw-government-school-enrolments-by-head-count" TargetMode="External" Id="rId43"/><Relationship Type="http://schemas.openxmlformats.org/officeDocument/2006/relationships/hyperlink" Target="https://www.abs.gov.au/statistics/people/education/schools/2025/Table%2042b%20Number%20of%20full-time%20and%20part-time%20students%2C%202006-2025.xlsx" TargetMode="External" Id="rId44"/><Relationship Type="http://schemas.openxmlformats.org/officeDocument/2006/relationships/hyperlink" Target="https://www.abs.gov.au/statistics/people/population/births-australia/2024/33010DC03.xlsx" TargetMode="External" Id="rId45"/><Relationship Type="http://schemas.openxmlformats.org/officeDocument/2006/relationships/hyperlink" Target="https://data.api.abs.gov.au/rest/data/C21_T13_LGA/2+21+22+23.3.14700+18250+14100+15950+15350+16700..?format=csvfilewithlabels" TargetMode="External" Id="rId46"/><Relationship Type="http://schemas.openxmlformats.org/officeDocument/2006/relationships/hyperlink" Target="https://www.abs.gov.au/statistics/people/population/regional-population-age-and-sex/2025/32350DS0006_2001-25.xlsx" TargetMode="External" Id="rId47"/><Relationship Type="http://schemas.openxmlformats.org/officeDocument/2006/relationships/hyperlink" Target="https://data.nsw.gov.au/data/dataset/nsw-education-school-intake-zones-catchment-areas-for-nsw-government-schools" TargetMode="External" Id="rId48"/><Relationship Type="http://schemas.openxmlformats.org/officeDocument/2006/relationships/hyperlink" Target="https://www.abs.gov.au/census/guide-census-data/mesh-block-counts/latest-release" TargetMode="External" Id="rId49"/><Relationship Type="http://schemas.openxmlformats.org/officeDocument/2006/relationships/hyperlink" Target="https://www.abs.gov.au/census/find-census-data/community-profiles/2016/LGA14700" TargetMode="External" Id="rId50"/><Relationship Type="http://schemas.openxmlformats.org/officeDocument/2006/relationships/hyperlink" Target="https://www.parliament.nsw.gov.au/lcdocs/other/13326/Attachment%20B%20for%20Q355.pdf" TargetMode="External" Id="rId51"/><Relationship Type="http://schemas.openxmlformats.org/officeDocument/2006/relationships/hyperlink" Target="https://www.planning.nsw.gov.au/data-and-resources/population-projections" TargetMode="External" Id="rId52"/><Relationship Type="http://schemas.openxmlformats.org/officeDocument/2006/relationships/hyperlink" Target="https://dataexplorer.abs.gov.au/vis?tm=ERP_COMP_LGA2025&amp;pg=0&amp;df%5Bds%5D=ABS_ABS_TOPICS&amp;df%5Bid%5D=ERP_COMP_LGA2025&amp;df%5Bag%5D=ABS&amp;df%5Bvs%5D=1.0.0" TargetMode="External" Id="rId53"/><Relationship Type="http://schemas.openxmlformats.org/officeDocument/2006/relationships/hyperlink" Target="https://www.abs.gov.au/statistics/people/population/regional-population/2024-25/32180DS0002_2024-25.xlsx" TargetMode="External" Id="rId54"/><Relationship Type="http://schemas.openxmlformats.org/officeDocument/2006/relationships/hyperlink" Target="https://www.abs.gov.au/census/find-census-data/quickstats/2021/LGA14700" TargetMode="External" Id="rId55"/></Relationships>
</file>

<file path=xl/worksheets/_rels/sheet3.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data.nsw.gov.au/data/dataset/nsw-education-nsw-government-school-enrolments-by-head-count"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data.nsw.gov.au/data/dataset/nsw-education-nsw-government-school-enrolments-by-head-count" TargetMode="External" Id="rId5"/></Relationships>
</file>

<file path=xl/worksheets/_rels/sheet4.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acara.edu.au/contact-us/acara-data-access" TargetMode="External" Id="rId4"/></Relationships>
</file>

<file path=xl/worksheets/_rels/sheet5.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data.nsw.gov.au/data/dataset/nsw-education-nsw-government-school-enrolments-by-head-count" TargetMode="External" Id="rId4"/></Relationships>
</file>

<file path=xl/worksheets/_rels/sheet6.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s>
</file>

<file path=xl/worksheets/_rels/sheet7.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inthecove.com.au/2026/04/20/lane-cove-school-enrolments-falling-data/" TargetMode="External" Id="rId4"/></Relationships>
</file>

<file path=xl/worksheets/_rels/sheet8.xml.rels><Relationships xmlns="http://schemas.openxmlformats.org/package/2006/relationships"><Relationship Type="http://schemas.openxmlformats.org/officeDocument/2006/relationships/hyperlink" Target="https://www.abs.gov.au/statistics/people/education/schools/2025/Table%2042b%20Number%20of%20full-time%20and%20part-time%20students%2C%202006-2025.xlsx" TargetMode="External" Id="rId1"/><Relationship Type="http://schemas.openxmlformats.org/officeDocument/2006/relationships/hyperlink" Target="https://www.abs.gov.au/statistics/people/education/schools/2025/Table%2042b%20Number%20of%20full-time%20and%20part-time%20students%2C%202006-2025.xlsx" TargetMode="External" Id="rId2"/></Relationships>
</file>

<file path=xl/worksheets/_rels/sheet9.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acara.edu.au/contact-us/acara-data-access" TargetMode="External" Id="rId5"/><Relationship Type="http://schemas.openxmlformats.org/officeDocument/2006/relationships/hyperlink" Target="https://acara.edu.au/contact-us/acara-data-access" TargetMode="External" Id="rId6"/><Relationship Type="http://schemas.openxmlformats.org/officeDocument/2006/relationships/hyperlink" Target="https://acara.edu.au/contact-us/acara-data-access" TargetMode="External" Id="rId7"/></Relationships>
</file>

<file path=xl/worksheets/_rels/sheet10.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acara.edu.au/contact-us/acara-data-access" TargetMode="External" Id="rId5"/><Relationship Type="http://schemas.openxmlformats.org/officeDocument/2006/relationships/hyperlink" Target="https://www.abs.gov.au/statistics/people/population/births-australia/2024/33010DC03.xlsx" TargetMode="External" Id="rId6"/></Relationships>
</file>

<file path=xl/worksheets/_rels/sheet11.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www.educationmattersmag.com.au/reddam-house-sydney-where-excellence-endures/"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www.educationmattersmag.com.au/reddam-house-sydney-where-excellence-endures/" TargetMode="External" Id="rId5"/></Relationships>
</file>

<file path=xl/worksheets/_rels/sheet12.xml.rels><Relationships xmlns="http://schemas.openxmlformats.org/package/2006/relationships"><Relationship Type="http://schemas.openxmlformats.org/officeDocument/2006/relationships/hyperlink" Target="https://www.abs.gov.au/statistics/people/population/births-australia/2024/33010DC03.xlsx"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www.abs.gov.au/statistics/people/population/births-australia/2024/33010DC03.xlsx" TargetMode="External" Id="rId3"/></Relationships>
</file>

<file path=xl/worksheets/_rels/sheet13.xml.rels><Relationships xmlns="http://schemas.openxmlformats.org/package/2006/relationships"><Relationship Type="http://schemas.openxmlformats.org/officeDocument/2006/relationships/hyperlink" Target="https://data.api.abs.gov.au/rest/data/C21_T13_LGA/2+21+22+23.3.14700+18250+14100+15950+15350+16700..?format=csvfilewithlabels" TargetMode="External" Id="rId1"/><Relationship Type="http://schemas.openxmlformats.org/officeDocument/2006/relationships/hyperlink" Target="https://data.api.abs.gov.au/rest/data/C21_T13_LGA/2+21+22+23.3.14700+18250+14100+15950+15350+16700..?format=csvfilewithlabels" TargetMode="External" Id="rId2"/><Relationship Type="http://schemas.openxmlformats.org/officeDocument/2006/relationships/hyperlink" Target="https://data.api.abs.gov.au/rest/data/C21_T13_LGA/2+21+22+23.3.14700+18250+14100+15950+15350+16700..?format=csvfilewithlabels" TargetMode="External" Id="rId3"/><Relationship Type="http://schemas.openxmlformats.org/officeDocument/2006/relationships/hyperlink" Target="https://data.api.abs.gov.au/rest/data/C21_T13_LGA/2+21+22+23.3.14700+18250+14100+15950+15350+16700..?format=csvfilewithlabels" TargetMode="External" Id="rId4"/><Relationship Type="http://schemas.openxmlformats.org/officeDocument/2006/relationships/hyperlink" Target="https://data.api.abs.gov.au/rest/data/C21_T13_LGA/2+21+22+23.3.14700+18250+14100+15950+15350+16700..?format=csvfilewithlabels" TargetMode="External" Id="rId5"/><Relationship Type="http://schemas.openxmlformats.org/officeDocument/2006/relationships/hyperlink" Target="https://www.abs.gov.au/census/find-census-data/community-profiles/2021/LGA14700" TargetMode="External" Id="rId6"/><Relationship Type="http://schemas.openxmlformats.org/officeDocument/2006/relationships/hyperlink" Target="https://www.abs.gov.au/census/find-census-data/community-profiles/2021/LGA18250" TargetMode="External" Id="rId7"/><Relationship Type="http://schemas.openxmlformats.org/officeDocument/2006/relationships/hyperlink" Target="https://www.abs.gov.au/census/find-census-data/community-profiles/2021/LGA14100" TargetMode="External" Id="rId8"/><Relationship Type="http://schemas.openxmlformats.org/officeDocument/2006/relationships/hyperlink" Target="https://www.abs.gov.au/census/find-census-data/community-profiles/2021/LGA15950" TargetMode="External" Id="rId9"/><Relationship Type="http://schemas.openxmlformats.org/officeDocument/2006/relationships/hyperlink" Target="https://www.abs.gov.au/census/find-census-data/community-profiles/2021/LGA15350" TargetMode="External" Id="rId10"/><Relationship Type="http://schemas.openxmlformats.org/officeDocument/2006/relationships/hyperlink" Target="https://www.abs.gov.au/census/find-census-data/community-profiles/2021/LGA16700" TargetMode="External" Id="rId11"/></Relationships>
</file>

<file path=xl/worksheets/_rels/sheet14.xml.rels><Relationships xmlns="http://schemas.openxmlformats.org/package/2006/relationships"><Relationship Type="http://schemas.openxmlformats.org/officeDocument/2006/relationships/hyperlink" Target="https://www.abs.gov.au/statistics/people/population/regional-population-age-and-sex/2025/32350DS0006_2001-25.xlsx" TargetMode="External" Id="rId1"/><Relationship Type="http://schemas.openxmlformats.org/officeDocument/2006/relationships/hyperlink" Target="https://www.abs.gov.au/statistics/people/population/regional-population-age-and-sex/2025/32350DS0006_2001-25.xlsx" TargetMode="External" Id="rId2"/><Relationship Type="http://schemas.openxmlformats.org/officeDocument/2006/relationships/hyperlink" Target="https://www.abs.gov.au/statistics/people/population/regional-population-age-and-sex/2025/32350DS0006_2001-25.xlsx" TargetMode="External" Id="rId3"/><Relationship Type="http://schemas.openxmlformats.org/officeDocument/2006/relationships/hyperlink" Target="https://www.abs.gov.au/statistics/people/population/regional-population-age-and-sex/2025/32350DS0006_2001-25.xlsx" TargetMode="External" Id="rId4"/><Relationship Type="http://schemas.openxmlformats.org/officeDocument/2006/relationships/hyperlink" Target="https://www.abs.gov.au/statistics/people/population/regional-population-age-and-sex/2025" TargetMode="External" Id="rId5"/><Relationship Type="http://schemas.openxmlformats.org/officeDocument/2006/relationships/hyperlink" Target="https://data.api.abs.gov.au/rest/data/ABS,ERP_ASGS2021,1.0.0/ERP.3.A04+A59..1GSYD.A?format=csvfilewithlabels" TargetMode="External" Id="rId6"/></Relationships>
</file>

<file path=xl/worksheets/_rels/sheet15.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www.abs.gov.au/statistics/people/population/regional-population-age-and-sex/2025/32350DS0006_2001-25.xlsx" TargetMode="External" Id="rId3"/><Relationship Type="http://schemas.openxmlformats.org/officeDocument/2006/relationships/hyperlink" Target="https://data.api.abs.gov.au/rest/data/ABS,ERP_ASGS2021,1.0.0/ERP.3.A04+A59..1GSYD.A?format=csvfilewithlabels" TargetMode="External" Id="rId4"/><Relationship Type="http://schemas.openxmlformats.org/officeDocument/2006/relationships/hyperlink" Target="https://www.abs.gov.au/statistics/people/population/regional-population-age-and-sex/2025/32350DS0006_2001-25.xlsx" TargetMode="External" Id="rId5"/><Relationship Type="http://schemas.openxmlformats.org/officeDocument/2006/relationships/hyperlink" Target="https://acara.edu.au/contact-us/acara-data-access" TargetMode="External" Id="rId6"/><Relationship Type="http://schemas.openxmlformats.org/officeDocument/2006/relationships/hyperlink" Target="https://www.abs.gov.au/statistics/people/population/regional-population-age-and-sex/2025/32350DS0006_2001-25.xlsx" TargetMode="External" Id="rId7"/><Relationship Type="http://schemas.openxmlformats.org/officeDocument/2006/relationships/hyperlink" Target="https://data.api.abs.gov.au/rest/data/ABS,ERP_ASGS2021,1.0.0/ERP.3.A04+A59..1GSYD.A?format=csvfilewithlabels" TargetMode="External" Id="rId8"/></Relationships>
</file>

<file path=xl/worksheets/_rels/sheet16.xml.rels><Relationships xmlns="http://schemas.openxmlformats.org/package/2006/relationships"><Relationship Type="http://schemas.openxmlformats.org/officeDocument/2006/relationships/hyperlink" Target="https://www.abs.gov.au/statistics/people/population/regional-population-age-and-sex/2025/32350DS0006_2001-25.xlsx" TargetMode="External" Id="rId1"/><Relationship Type="http://schemas.openxmlformats.org/officeDocument/2006/relationships/hyperlink" Target="https://www.abs.gov.au/statistics/people/population/regional-population-age-and-sex/2025/32350DS0006_2001-25.xlsx" TargetMode="External" Id="rId2"/><Relationship Type="http://schemas.openxmlformats.org/officeDocument/2006/relationships/hyperlink" Target="https://www.abs.gov.au/census/guide-census-data/mesh-block-counts/latest-release"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data.api.abs.gov.au/rest/data/ABS,ERP_ASGS2021,1.0.0/ERP.3.A04+A59..121011686+121011685.A?format=csvfilewithlabels" TargetMode="External" Id="rId5"/><Relationship Type="http://schemas.openxmlformats.org/officeDocument/2006/relationships/hyperlink" Target="https://www.abs.gov.au/statistics/people/population/regional-population-age-and-sex/2025/32350DS0006_2001-25.xlsx" TargetMode="External" Id="rId6"/><Relationship Type="http://schemas.openxmlformats.org/officeDocument/2006/relationships/hyperlink" Target="https://www.abs.gov.au/statistics/people/population/regional-population-age-and-sex/2025" TargetMode="External" Id="rId7"/><Relationship Type="http://schemas.openxmlformats.org/officeDocument/2006/relationships/hyperlink" Target="https://www.abs.gov.au/census/guide-census-data/mesh-block-counts/latest-release" TargetMode="External" Id="rId8"/><Relationship Type="http://schemas.openxmlformats.org/officeDocument/2006/relationships/hyperlink" Target="https://data.nsw.gov.au/data/dataset/nsw-education-school-intake-zones-catchment-areas-for-nsw-government-schools" TargetMode="External" Id="rId9"/><Relationship Type="http://schemas.openxmlformats.org/officeDocument/2006/relationships/hyperlink" Target="https://acara.edu.au/contact-us/acara-data-access" TargetMode="External" Id="rId10"/></Relationships>
</file>

<file path=xl/worksheets/_rels/sheet17.xml.rels><Relationships xmlns="http://schemas.openxmlformats.org/package/2006/relationships"><Relationship Type="http://schemas.openxmlformats.org/officeDocument/2006/relationships/hyperlink" Target="https://data.nsw.gov.au/data/dataset/nsw-education-school-intake-zones-catchment-areas-for-nsw-government-schools" TargetMode="External" Id="rId1"/><Relationship Type="http://schemas.openxmlformats.org/officeDocument/2006/relationships/hyperlink" Target="https://www.abs.gov.au/census/guide-census-data/mesh-block-counts/latest-release" TargetMode="External" Id="rId2"/><Relationship Type="http://schemas.openxmlformats.org/officeDocument/2006/relationships/hyperlink" Target="https://www.abs.gov.au/census/guide-census-data/mesh-block-counts/latest-release" TargetMode="External" Id="rId3"/><Relationship Type="http://schemas.openxmlformats.org/officeDocument/2006/relationships/hyperlink" Target="https://data.nsw.gov.au/data/dataset/nsw-education-school-intake-zones-catchment-areas-for-nsw-government-schools" TargetMode="External" Id="rId4"/><Relationship Type="http://schemas.openxmlformats.org/officeDocument/2006/relationships/hyperlink" Target="https://acara.edu.au/contact-us/acara-data-access" TargetMode="External" Id="rId5"/><Relationship Type="http://schemas.openxmlformats.org/officeDocument/2006/relationships/hyperlink" Target="https://www.abs.gov.au/statistics/people/population/regional-population-age-and-sex/2025/32350DS0006_2001-25.xlsx" TargetMode="External" Id="rId6"/><Relationship Type="http://schemas.openxmlformats.org/officeDocument/2006/relationships/hyperlink" Target="https://www.abs.gov.au/census/find-census-data/quickstats/2021/LGA14700" TargetMode="External" Id="rId7"/></Relationships>
</file>

<file path=xl/worksheets/_rels/sheet18.xml.rels><Relationships xmlns="http://schemas.openxmlformats.org/package/2006/relationships"><Relationship Type="http://schemas.openxmlformats.org/officeDocument/2006/relationships/hyperlink" Target="https://www.abs.gov.au/statistics/people/population/regional-population-age-and-sex/2025/32350DS0006_2001-25.xlsx" TargetMode="External" Id="rId1"/><Relationship Type="http://schemas.openxmlformats.org/officeDocument/2006/relationships/hyperlink" Target="https://www.abs.gov.au/statistics/people/population/regional-population-age-and-sex/2025/32350DS0006_2001-25.xlsx" TargetMode="External" Id="rId2"/><Relationship Type="http://schemas.openxmlformats.org/officeDocument/2006/relationships/hyperlink" Target="https://www.abs.gov.au/census/find-census-data/community-profiles/2016/LGA14700" TargetMode="External" Id="rId3"/><Relationship Type="http://schemas.openxmlformats.org/officeDocument/2006/relationships/hyperlink" Target="https://www.abs.gov.au/census/find-census-data/community-profiles/2021/LGA14700" TargetMode="External" Id="rId4"/><Relationship Type="http://schemas.openxmlformats.org/officeDocument/2006/relationships/hyperlink" Target="https://www.abs.gov.au/census/find-census-data/community-profiles/2016/LGA18250" TargetMode="External" Id="rId5"/><Relationship Type="http://schemas.openxmlformats.org/officeDocument/2006/relationships/hyperlink" Target="https://www.abs.gov.au/census/find-census-data/community-profiles/2016/LGA14100" TargetMode="External" Id="rId6"/><Relationship Type="http://schemas.openxmlformats.org/officeDocument/2006/relationships/hyperlink" Target="https://www.abs.gov.au/census/find-census-data/community-profiles/2016/LGA15950" TargetMode="External" Id="rId7"/><Relationship Type="http://schemas.openxmlformats.org/officeDocument/2006/relationships/hyperlink" Target="https://www.abs.gov.au/census/find-census-data/community-profiles/2016/LGA15350" TargetMode="External" Id="rId8"/><Relationship Type="http://schemas.openxmlformats.org/officeDocument/2006/relationships/hyperlink" Target="https://www.abs.gov.au/census/find-census-data/community-profiles/2016/LGA16700" TargetMode="External" Id="rId9"/><Relationship Type="http://schemas.openxmlformats.org/officeDocument/2006/relationships/hyperlink" Target="https://www.abs.gov.au/census/find-census-data/community-profiles/2021/LGA18250" TargetMode="External" Id="rId10"/><Relationship Type="http://schemas.openxmlformats.org/officeDocument/2006/relationships/hyperlink" Target="https://www.abs.gov.au/census/find-census-data/community-profiles/2021/LGA14100" TargetMode="External" Id="rId11"/><Relationship Type="http://schemas.openxmlformats.org/officeDocument/2006/relationships/hyperlink" Target="https://www.abs.gov.au/census/find-census-data/community-profiles/2021/LGA15950" TargetMode="External" Id="rId12"/><Relationship Type="http://schemas.openxmlformats.org/officeDocument/2006/relationships/hyperlink" Target="https://www.abs.gov.au/census/find-census-data/community-profiles/2021/LGA15350" TargetMode="External" Id="rId13"/><Relationship Type="http://schemas.openxmlformats.org/officeDocument/2006/relationships/hyperlink" Target="https://www.abs.gov.au/census/find-census-data/community-profiles/2021/LGA16700" TargetMode="External" Id="rId14"/><Relationship Type="http://schemas.openxmlformats.org/officeDocument/2006/relationships/hyperlink" Target="https://www.abs.gov.au/census/find-census-data/community-profiles/2016/1GSYD" TargetMode="External" Id="rId15"/><Relationship Type="http://schemas.openxmlformats.org/officeDocument/2006/relationships/hyperlink" Target="https://www.abs.gov.au/census/find-census-data/community-profiles/2021/1GSYD" TargetMode="External" Id="rId16"/><Relationship Type="http://schemas.openxmlformats.org/officeDocument/2006/relationships/hyperlink" Target="https://www.abs.gov.au/statistics/people/population/regional-population-age-and-sex/2025/32350DS0006_2001-25.xlsx" TargetMode="External" Id="rId17"/><Relationship Type="http://schemas.openxmlformats.org/officeDocument/2006/relationships/hyperlink" Target="https://data.api.abs.gov.au/rest/data/ABS,ERP_ASGS2021,1.0.0/ERP.3.A04+A59..1GSYD.A?format=csvfilewithlabels" TargetMode="External" Id="rId18"/><Relationship Type="http://schemas.openxmlformats.org/officeDocument/2006/relationships/hyperlink" Target="https://acara.edu.au/contact-us/acara-data-access" TargetMode="External" Id="rId19"/></Relationships>
</file>

<file path=xl/worksheets/_rels/sheet19.xml.rels><Relationships xmlns="http://schemas.openxmlformats.org/package/2006/relationships"><Relationship Type="http://schemas.openxmlformats.org/officeDocument/2006/relationships/hyperlink" Target="https://www.parliament.nsw.gov.au/lcdocs/other/13326/Attachment%20B%20for%20Q355.pdf" TargetMode="External" Id="rId1"/><Relationship Type="http://schemas.openxmlformats.org/officeDocument/2006/relationships/hyperlink" Target="https://www.parliament.nsw.gov.au/lcdocs/other/13324/Compiled%20supplementary%20questions%20-%20PC3%20-%20Education%20and%20Early%20Childhood%20Learning%20Further%20Budget%20Estimates%202019-2020.pdf" TargetMode="External" Id="rId2"/><Relationship Type="http://schemas.openxmlformats.org/officeDocument/2006/relationships/hyperlink" Target="https://www.parliament.nsw.gov.au/lcdocs/other/13326/Attachment%20B%20for%20Q355.pdf" TargetMode="External" Id="rId3"/><Relationship Type="http://schemas.openxmlformats.org/officeDocument/2006/relationships/hyperlink" Target="https://www.parliament.nsw.gov.au/lcdocs/other/15392/Answers%20to%20supplementary%20questions%20-%20Minister%20Mitchell.pdf" TargetMode="External" Id="rId4"/><Relationship Type="http://schemas.openxmlformats.org/officeDocument/2006/relationships/hyperlink" Target="https://education.nsw.gov.au/policy-library/policies/pd-2002-0006-01.html" TargetMode="External" Id="rId5"/><Relationship Type="http://schemas.openxmlformats.org/officeDocument/2006/relationships/hyperlink" Target="https://www.parliament.nsw.gov.au/lcdocs/other/13324/Compiled%20supplementary%20questions%20-%20PC3%20-%20Education%20and%20Early%20Childhood%20Learning%20Further%20Budget%20Estimates%202019-2020.pdf" TargetMode="External" Id="rId6"/><Relationship Type="http://schemas.openxmlformats.org/officeDocument/2006/relationships/hyperlink" Target="https://www.parliament.nsw.gov.au/lcdocs/other/13326/Attachment%20B%20for%20Q355.pdf" TargetMode="External" Id="rId7"/><Relationship Type="http://schemas.openxmlformats.org/officeDocument/2006/relationships/hyperlink" Target="https://www.parliament.nsw.gov.au/lcdocs/other/15392/Answers%20to%20supplementary%20questions%20-%20Minister%20Mitchell.pdf" TargetMode="External" Id="rId8"/><Relationship Type="http://schemas.openxmlformats.org/officeDocument/2006/relationships/hyperlink" Target="https://acara.edu.au/contact-us/acara-data-access" TargetMode="External" Id="rId9"/><Relationship Type="http://schemas.openxmlformats.org/officeDocument/2006/relationships/hyperlink" Target="https://data.nsw.gov.au/data/dataset/nsw-education-nsw-government-school-enrolments-by-head-count" TargetMode="External" Id="rId10"/><Relationship Type="http://schemas.openxmlformats.org/officeDocument/2006/relationships/hyperlink" Target="https://education.nsw.gov.au/policy-library/policies/pd-2002-0006-01.html" TargetMode="External" Id="rId11"/></Relationships>
</file>

<file path=xl/worksheets/_rels/sheet20.xml.rels><Relationships xmlns="http://schemas.openxmlformats.org/package/2006/relationships"><Relationship Type="http://schemas.openxmlformats.org/officeDocument/2006/relationships/hyperlink" Target="https://data.nsw.gov.au/data/dataset/nsw-education-school-intake-zones-catchment-areas-for-nsw-government-schools" TargetMode="External" Id="rId1"/><Relationship Type="http://schemas.openxmlformats.org/officeDocument/2006/relationships/hyperlink" Target="https://data.nsw.gov.au/data/dataset/nsw-education-school-intake-zones-catchment-areas-for-nsw-government-schools" TargetMode="External" Id="rId2"/><Relationship Type="http://schemas.openxmlformats.org/officeDocument/2006/relationships/hyperlink" Target="https://www.schoolinfrastructure.nsw.gov.au/schools/4/4015" TargetMode="External" Id="rId3"/><Relationship Type="http://schemas.openxmlformats.org/officeDocument/2006/relationships/hyperlink" Target="https://data.nsw.gov.au/data/dataset/nsw-education-school-intake-zones-catchment-areas-for-nsw-government-schools" TargetMode="External" Id="rId4"/><Relationship Type="http://schemas.openxmlformats.org/officeDocument/2006/relationships/hyperlink" Target="https://www.abs.gov.au/census/guide-census-data/mesh-block-counts/latest-release" TargetMode="External" Id="rId5"/><Relationship Type="http://schemas.openxmlformats.org/officeDocument/2006/relationships/hyperlink" Target="https://www.schoolinfrastructure.nsw.gov.au/schools/4/4015" TargetMode="External" Id="rId6"/><Relationship Type="http://schemas.openxmlformats.org/officeDocument/2006/relationships/hyperlink" Target="https://acara.edu.au/contact-us/acara-data-access" TargetMode="External" Id="rId7"/></Relationships>
</file>

<file path=xl/worksheets/_rels/sheet21.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education.nsw.gov.au/public-schools/selective-high-schools-and-opportunity-classes/year-5" TargetMode="External" Id="rId2"/><Relationship Type="http://schemas.openxmlformats.org/officeDocument/2006/relationships/hyperlink" Target="https://acara.edu.au/contact-us/acara-data-access"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education.nsw.gov.au/public-schools/selective-high-schools-and-opportunity-classes/year-5" TargetMode="External" Id="rId5"/></Relationships>
</file>

<file path=xl/worksheets/_rels/sheet22.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education.nsw.gov.au/public-schools/selective-high-schools-and-opportunity-classes/year-5" TargetMode="External" Id="rId3"/><Relationship Type="http://schemas.openxmlformats.org/officeDocument/2006/relationships/hyperlink" Target="https://acara.edu.au/contact-us/acara-data-access" TargetMode="External" Id="rId4"/><Relationship Type="http://schemas.openxmlformats.org/officeDocument/2006/relationships/hyperlink" Target="https://education.nsw.gov.au/public-schools/selective-high-schools-and-opportunity-classes/year-5" TargetMode="External" Id="rId5"/></Relationships>
</file>

<file path=xl/worksheets/_rels/sheet23.xml.rels><Relationships xmlns="http://schemas.openxmlformats.org/package/2006/relationships"><Relationship Type="http://schemas.openxmlformats.org/officeDocument/2006/relationships/hyperlink" Target="https://www.abs.gov.au/statistics/people/population/births-australia/2024/33010DC03.xlsx" TargetMode="External" Id="rId1"/><Relationship Type="http://schemas.openxmlformats.org/officeDocument/2006/relationships/hyperlink" Target="https://www.abs.gov.au/statistics/people/population/births-australia/2024/33010DC03.xlsx" TargetMode="External" Id="rId2"/><Relationship Type="http://schemas.openxmlformats.org/officeDocument/2006/relationships/hyperlink" Target="https://www.abs.gov.au/statistics/people/population/regional-population-age-and-sex/2025/32350DS0006_2001-25.xlsx" TargetMode="External" Id="rId3"/><Relationship Type="http://schemas.openxmlformats.org/officeDocument/2006/relationships/hyperlink" Target="https://www.abs.gov.au/statistics/people/population/births-australia/2024/33010DC03.xlsx" TargetMode="External" Id="rId4"/><Relationship Type="http://schemas.openxmlformats.org/officeDocument/2006/relationships/hyperlink" Target="https://www.abs.gov.au/statistics/people/population/regional-population-age-and-sex/2025/32350DS0006_2001-25.xlsx" TargetMode="External" Id="rId5"/><Relationship Type="http://schemas.openxmlformats.org/officeDocument/2006/relationships/hyperlink" Target="https://www.planning.nsw.gov.au/data-and-resources/population-projections" TargetMode="External" Id="rId6"/><Relationship Type="http://schemas.openxmlformats.org/officeDocument/2006/relationships/hyperlink" Target="https://education.nsw.gov.au/public-schools/going-to-a-public-school/primary-schools/starting-school" TargetMode="External" Id="rId7"/></Relationships>
</file>

<file path=xl/worksheets/_rels/sheet24.xml.rels><Relationships xmlns="http://schemas.openxmlformats.org/package/2006/relationships"><Relationship Type="http://schemas.openxmlformats.org/officeDocument/2006/relationships/hyperlink" Target="https://www.abs.gov.au/statistics/people/population/regional-population-age-and-sex/2025/32350DS0006_2001-25.xlsx" TargetMode="External" Id="rId1"/><Relationship Type="http://schemas.openxmlformats.org/officeDocument/2006/relationships/hyperlink" Target="https://acara.edu.au/contact-us/acara-data-access" TargetMode="External" Id="rId2"/><Relationship Type="http://schemas.openxmlformats.org/officeDocument/2006/relationships/hyperlink" Target="https://www.abs.gov.au/statistics/people/population/births-australia/2024/33010DC03.xlsx" TargetMode="External" Id="rId3"/><Relationship Type="http://schemas.openxmlformats.org/officeDocument/2006/relationships/hyperlink" Target="https://www.abs.gov.au/statistics/people/population/regional-population-age-and-sex/2025/32350DS0006_2001-25.xlsx" TargetMode="External" Id="rId4"/></Relationships>
</file>

<file path=xl/worksheets/_rels/sheet25.xml.rels><Relationships xmlns="http://schemas.openxmlformats.org/package/2006/relationships"><Relationship Type="http://schemas.openxmlformats.org/officeDocument/2006/relationships/hyperlink" Target="https://dataexplorer.abs.gov.au/vis?tm=ERP_COMP_LGA2025&amp;pg=0&amp;df%5Bds%5D=ABS_ABS_TOPICS&amp;df%5Bid%5D=ERP_COMP_LGA2025&amp;df%5Bag%5D=ABS&amp;df%5Bvs%5D=1.0.0" TargetMode="External" Id="rId1"/><Relationship Type="http://schemas.openxmlformats.org/officeDocument/2006/relationships/hyperlink" Target="https://dataexplorer.abs.gov.au/vis?tm=ERP_COMP_LGA2025&amp;pg=0&amp;df%5Bds%5D=ABS_ABS_TOPICS&amp;df%5Bid%5D=ERP_COMP_LGA2025&amp;df%5Bag%5D=ABS&amp;df%5Bvs%5D=1.0.0" TargetMode="External" Id="rId2"/><Relationship Type="http://schemas.openxmlformats.org/officeDocument/2006/relationships/hyperlink" Target="https://www.abs.gov.au/statistics/people/population/births-australia/2024/33010DC03.xlsx" TargetMode="External" Id="rId3"/><Relationship Type="http://schemas.openxmlformats.org/officeDocument/2006/relationships/hyperlink" Target="https://dataexplorer.abs.gov.au/vis?tm=ERP_COMP_LGA2025&amp;pg=0&amp;df%5Bds%5D=ABS_ABS_TOPICS&amp;df%5Bid%5D=ERP_COMP_LGA2025&amp;df%5Bag%5D=ABS&amp;df%5Bvs%5D=1.0.0" TargetMode="External" Id="rId4"/><Relationship Type="http://schemas.openxmlformats.org/officeDocument/2006/relationships/hyperlink" Target="https://www.abs.gov.au/statistics/people/population/births-australia/2024/33010DC03.xlsx" TargetMode="External" Id="rId5"/></Relationships>
</file>

<file path=xl/worksheets/_rels/sheet26.xml.rels><Relationships xmlns="http://schemas.openxmlformats.org/package/2006/relationships"><Relationship Type="http://schemas.openxmlformats.org/officeDocument/2006/relationships/hyperlink" Target="https://www.abs.gov.au/statistics/people/population/births-australia/2024/33010DC03.xlsx" TargetMode="External" Id="rId1"/><Relationship Type="http://schemas.openxmlformats.org/officeDocument/2006/relationships/hyperlink" Target="https://www.abs.gov.au/statistics/people/population/births-australia/2024/33010DC03.xlsx" TargetMode="External" Id="rId2"/><Relationship Type="http://schemas.openxmlformats.org/officeDocument/2006/relationships/hyperlink" Target="https://www.abs.gov.au/statistics/people/population/births-australia/2024/33010DC03.xlsx" TargetMode="External" Id="rId3"/></Relationships>
</file>

<file path=xl/worksheets/_rels/sheet27.xml.rels><Relationships xmlns="http://schemas.openxmlformats.org/package/2006/relationships"><Relationship Type="http://schemas.openxmlformats.org/officeDocument/2006/relationships/hyperlink" Target="https://www.abs.gov.au/statistics/people/population/regional-population/2024-25/32180DS0002_2024-25.xlsx" TargetMode="External" Id="rId1"/><Relationship Type="http://schemas.openxmlformats.org/officeDocument/2006/relationships/hyperlink" Target="https://www.abs.gov.au/statistics/people/population/regional-population/2024-25/32180DS0002_2024-25.xlsx" TargetMode="External" Id="rId2"/><Relationship Type="http://schemas.openxmlformats.org/officeDocument/2006/relationships/hyperlink" Target="https://www.abs.gov.au/statistics/people/population/regional-population/2024-25/32180DS0002_2024-25.xlsx" TargetMode="External" Id="rId3"/><Relationship Type="http://schemas.openxmlformats.org/officeDocument/2006/relationships/hyperlink" Target="https://dataexplorer.abs.gov.au/vis?tm=ERP_COMP_LGA2025&amp;pg=0&amp;df%5Bds%5D=ABS_ABS_TOPICS&amp;df%5Bid%5D=ERP_COMP_LGA2025&amp;df%5Bag%5D=ABS&amp;df%5Bvs%5D=1.0.0" TargetMode="External" Id="rId4"/></Relationships>
</file>

<file path=xl/worksheets/_rels/sheet28.xml.rels><Relationships xmlns="http://schemas.openxmlformats.org/package/2006/relationships"><Relationship Type="http://schemas.openxmlformats.org/officeDocument/2006/relationships/hyperlink" Target="https://www.abs.gov.au/census/find-census-data/quickstats/2021/LGA14700" TargetMode="External" Id="rId1"/><Relationship Type="http://schemas.openxmlformats.org/officeDocument/2006/relationships/hyperlink" Target="https://www.abs.gov.au/census/find-census-data/quickstats/2021/LGA14700" TargetMode="External" Id="rId2"/><Relationship Type="http://schemas.openxmlformats.org/officeDocument/2006/relationships/hyperlink" Target="https://www.abs.gov.au/census/find-census-data/quickstats/2021/LGA14700" TargetMode="External" Id="rId3"/><Relationship Type="http://schemas.openxmlformats.org/officeDocument/2006/relationships/hyperlink" Target="https://www.abs.gov.au/census/find-census-data/quickstats/2016/LGA14700" TargetMode="External" Id="rId4"/></Relationships>
</file>

<file path=xl/worksheets/_rels/sheet29.xml.rels><Relationships xmlns="http://schemas.openxmlformats.org/package/2006/relationships"><Relationship Type="http://schemas.openxmlformats.org/officeDocument/2006/relationships/hyperlink" Target="https://sway.cloud.microsoft/B5E0xgYyZlv6A6GJ" TargetMode="External" Id="rId1"/><Relationship Type="http://schemas.openxmlformats.org/officeDocument/2006/relationships/hyperlink" Target="https://sway.cloud.microsoft/B5E0xgYyZlv6A6GJ" TargetMode="External" Id="rId2"/><Relationship Type="http://schemas.openxmlformats.org/officeDocument/2006/relationships/hyperlink" Target="https://sway.cloud.microsoft/BPXlQsMnhdISQVci" TargetMode="External" Id="rId3"/><Relationship Type="http://schemas.openxmlformats.org/officeDocument/2006/relationships/hyperlink" Target="https://sway.cloud.microsoft/BPXlQsMnhdISQVci" TargetMode="External" Id="rId4"/><Relationship Type="http://schemas.openxmlformats.org/officeDocument/2006/relationships/hyperlink" Target="https://sway.cloud.microsoft/UwZ0p6Sz1L2Eia85" TargetMode="External" Id="rId5"/><Relationship Type="http://schemas.openxmlformats.org/officeDocument/2006/relationships/hyperlink" Target="https://sway.cloud.microsoft/UwZ0p6Sz1L2Eia85" TargetMode="External" Id="rId6"/><Relationship Type="http://schemas.openxmlformats.org/officeDocument/2006/relationships/hyperlink" Target="https://sway.cloud.microsoft/DRfC8LYuCTSooybA" TargetMode="External" Id="rId7"/><Relationship Type="http://schemas.openxmlformats.org/officeDocument/2006/relationships/hyperlink" Target="https://www.acara.edu.au/reporting/key-dates" TargetMode="External" Id="rId8"/><Relationship Type="http://schemas.openxmlformats.org/officeDocument/2006/relationships/hyperlink" Target="https://sway.cloud.microsoft/B5E0xgYyZlv6A6GJ" TargetMode="External" Id="rId9"/><Relationship Type="http://schemas.openxmlformats.org/officeDocument/2006/relationships/hyperlink" Target="https://sway.cloud.microsoft/BPXlQsMnhdISQVci" TargetMode="External" Id="rId10"/><Relationship Type="http://schemas.openxmlformats.org/officeDocument/2006/relationships/hyperlink" Target="https://sway.cloud.microsoft/UwZ0p6Sz1L2Eia85" TargetMode="External" Id="rId11"/><Relationship Type="http://schemas.openxmlformats.org/officeDocument/2006/relationships/hyperlink" Target="https://sway.cloud.microsoft/DRfC8LYuCTSooybA" TargetMode="External" Id="rId12"/><Relationship Type="http://schemas.openxmlformats.org/officeDocument/2006/relationships/hyperlink" Target="https://www.acara.edu.au/reporting/key-dates" TargetMode="External" Id="rId13"/></Relationships>
</file>

<file path=xl/worksheets/_rels/sheet30.xml.rels><Relationships xmlns="http://schemas.openxmlformats.org/package/2006/relationships"><Relationship Type="http://schemas.openxmlformats.org/officeDocument/2006/relationships/hyperlink" Target="https://acara.edu.au/contact-us/acara-data-access" TargetMode="External" Id="rId1"/><Relationship Type="http://schemas.openxmlformats.org/officeDocument/2006/relationships/hyperlink" Target="https://www.acara.edu.au/reporting/key-dates" TargetMode="External" Id="rId2"/><Relationship Type="http://schemas.openxmlformats.org/officeDocument/2006/relationships/hyperlink" Target="https://data.nsw.gov.au/data/dataset/nsw-education-nsw-government-school-enrolments-by-head-count" TargetMode="External" Id="rId3"/><Relationship Type="http://schemas.openxmlformats.org/officeDocument/2006/relationships/hyperlink" Target="https://www.abs.gov.au/statistics/people/education/schools/2025/Table%2042b%20Number%20of%20full-time%20and%20part-time%20students%2C%202006-2025.xlsx" TargetMode="External" Id="rId4"/><Relationship Type="http://schemas.openxmlformats.org/officeDocument/2006/relationships/hyperlink" Target="https://www.abs.gov.au/statistics/people/population/births-australia/2024/33010DC03.xlsx" TargetMode="External" Id="rId5"/><Relationship Type="http://schemas.openxmlformats.org/officeDocument/2006/relationships/hyperlink" Target="https://www.abs.gov.au/statistics/people/population/regional-population-age-and-sex/2025/32350DS0006_2001-25.xlsx" TargetMode="External" Id="rId6"/><Relationship Type="http://schemas.openxmlformats.org/officeDocument/2006/relationships/hyperlink" Target="https://www.planning.nsw.gov.au/data-and-resources/population-projections" TargetMode="External" Id="rId7"/><Relationship Type="http://schemas.openxmlformats.org/officeDocument/2006/relationships/hyperlink" Target="https://www.abs.gov.au/media-centre/media-releases/2026-census-topics-and-data-release" TargetMode="External" Id="rId8"/><Relationship Type="http://schemas.openxmlformats.org/officeDocument/2006/relationships/hyperlink" Target="https://inthecove.com.au/2026/04/20/lane-cove-school-enrolments-falling-data/" TargetMode="External" Id="rId9"/><Relationship Type="http://schemas.openxmlformats.org/officeDocument/2006/relationships/hyperlink" Target="https://education.nsw.gov.au/public-schools/going-to-a-public-school/primary-schools/starting-school" TargetMode="External" Id="rId10"/><Relationship Type="http://schemas.openxmlformats.org/officeDocument/2006/relationships/hyperlink" Target="https://sway.cloud.microsoft/B5E0xgYyZlv6A6GJ" TargetMode="External" Id="rId11"/><Relationship Type="http://schemas.openxmlformats.org/officeDocument/2006/relationships/hyperlink" Target="https://sway.cloud.microsoft/BPXlQsMnhdISQVci" TargetMode="External" Id="rId12"/><Relationship Type="http://schemas.openxmlformats.org/officeDocument/2006/relationships/hyperlink" Target="https://sway.cloud.microsoft/UwZ0p6Sz1L2Eia85" TargetMode="External" Id="rId13"/><Relationship Type="http://schemas.openxmlformats.org/officeDocument/2006/relationships/hyperlink" Target="https://sway.cloud.microsoft/DRfC8LYuCTSooybA" TargetMode="External" Id="rId14"/><Relationship Type="http://schemas.openxmlformats.org/officeDocument/2006/relationships/hyperlink" Target="https://stmlanecove.syd.catholic.edu.au/annual-school-report" TargetMode="External" Id="rId15"/><Relationship Type="http://schemas.openxmlformats.org/officeDocument/2006/relationships/hyperlink" Target="https://www.abs.gov.au/statistics/people/population/regional-population/2024-25/32180DS0002_2024-25.xlsx" TargetMode="External" Id="rId16"/><Relationship Type="http://schemas.openxmlformats.org/officeDocument/2006/relationships/hyperlink" Target="https://www.lanecove.nsw.gov.au/Council/Plans-and-Publications/Children-and-Families-Strategy" TargetMode="External" Id="rId17"/><Relationship Type="http://schemas.openxmlformats.org/officeDocument/2006/relationships/hyperlink" Target="https://www.abs.gov.au/census/find-census-data/quickstats/2021/LGA14700" TargetMode="External" Id="rId18"/><Relationship Type="http://schemas.openxmlformats.org/officeDocument/2006/relationships/hyperlink" Target="https://dataexplorer.abs.gov.au/vis?tm=ERP_COMP_LGA2025&amp;pg=0&amp;df%5Bds%5D=ABS_ABS_TOPICS&amp;df%5Bid%5D=ERP_COMP_LGA2025&amp;df%5Bag%5D=ABS&amp;df%5Bvs%5D=1.0.0" TargetMode="External" Id="rId19"/><Relationship Type="http://schemas.openxmlformats.org/officeDocument/2006/relationships/hyperlink" Target="https://lanecove.s3.ap-southeast-2.amazonaws.com/wp-content/uploads/2026/10/25210850/lane-cove-schools-part-2-data-v15.xlsx" TargetMode="External" Id="rId20"/><Relationship Type="http://schemas.openxmlformats.org/officeDocument/2006/relationships/hyperlink" Target="https://www.educationmattersmag.com.au/reddam-house-sydney-where-excellence-endures/" TargetMode="External" Id="rId21"/><Relationship Type="http://schemas.openxmlformats.org/officeDocument/2006/relationships/hyperlink" Target="https://www.abs.gov.au/census/find-census-data/community-profiles/2021/LGA14700" TargetMode="External" Id="rId22"/><Relationship Type="http://schemas.openxmlformats.org/officeDocument/2006/relationships/hyperlink" Target="https://www.abs.gov.au/statistics/people/population/regional-population-age-and-sex/2025" TargetMode="External" Id="rId23"/><Relationship Type="http://schemas.openxmlformats.org/officeDocument/2006/relationships/hyperlink" Target="https://www.parliament.nsw.gov.au/lcdocs/other/13324/Compiled%20supplementary%20questions%20-%20PC3%20-%20Education%20and%20Early%20Childhood%20Learning%20Further%20Budget%20Estimates%202019-2020.pdf" TargetMode="External" Id="rId24"/><Relationship Type="http://schemas.openxmlformats.org/officeDocument/2006/relationships/hyperlink" Target="https://www.parliament.nsw.gov.au/lcdocs/other/13326/Attachment%20B%20for%20Q355.pdf" TargetMode="External" Id="rId25"/><Relationship Type="http://schemas.openxmlformats.org/officeDocument/2006/relationships/hyperlink" Target="https://www.abs.gov.au/census/guide-census-data/mesh-block-counts/latest-release" TargetMode="External" Id="rId26"/><Relationship Type="http://schemas.openxmlformats.org/officeDocument/2006/relationships/hyperlink" Target="https://data.nsw.gov.au/data/dataset/nsw-education-school-intake-zones-catchment-areas-for-nsw-government-schools" TargetMode="External" Id="rId27"/><Relationship Type="http://schemas.openxmlformats.org/officeDocument/2006/relationships/hyperlink" Target="https://www.abs.gov.au/census/find-census-data/community-profiles/2016/LGA14700" TargetMode="External" Id="rId28"/><Relationship Type="http://schemas.openxmlformats.org/officeDocument/2006/relationships/hyperlink" Target="https://www.parliament.nsw.gov.au/lcdocs/other/15392/Answers%20to%20supplementary%20questions%20-%20Minister%20Mitchell.pdf" TargetMode="External" Id="rId29"/><Relationship Type="http://schemas.openxmlformats.org/officeDocument/2006/relationships/hyperlink" Target="https://www.schoolinfrastructure.nsw.gov.au/schools/4/4015" TargetMode="External" Id="rId30"/><Relationship Type="http://schemas.openxmlformats.org/officeDocument/2006/relationships/hyperlink" Target="https://education.nsw.gov.au/public-schools/selective-high-schools-and-opportunity-classes/year-5" TargetMode="External" Id="rId31"/><Relationship Type="http://schemas.openxmlformats.org/officeDocument/2006/relationships/hyperlink" Target="https://data.api.abs.gov.au/rest/data/ABS,ERP_ASGS2021,1.0.0/ERP.3.A04+A59..1GSYD.A?format=csvfilewithlabels" TargetMode="External" Id="rId32"/><Relationship Type="http://schemas.openxmlformats.org/officeDocument/2006/relationships/hyperlink" Target="https://data.api.abs.gov.au/rest/data/ABS,ERP_ASGS2021,1.0.0/ERP.3.A04+A59..121011686+121011685.A?format=csvfilewithlabels" TargetMode="External" Id="rId33"/><Relationship Type="http://schemas.openxmlformats.org/officeDocument/2006/relationships/hyperlink" Target="https://data.api.abs.gov.au/rest/data/C21_T13_LGA/2+21+22+23.3.14700+18250+14100+15950+15350+16700..?format=csvfilewithlabels" TargetMode="External" Id="rId34"/><Relationship Type="http://schemas.openxmlformats.org/officeDocument/2006/relationships/hyperlink" Target="https://www.abs.gov.au/census/find-census-data/quickstats/2016/LGA14700" TargetMode="External" Id="rId35"/><Relationship Type="http://schemas.openxmlformats.org/officeDocument/2006/relationships/hyperlink" Target="https://www.abs.gov.au/census/find-census-data/community-profiles/2021/LGA18250" TargetMode="External" Id="rId36"/><Relationship Type="http://schemas.openxmlformats.org/officeDocument/2006/relationships/hyperlink" Target="https://www.abs.gov.au/census/find-census-data/community-profiles/2021/LGA14100" TargetMode="External" Id="rId37"/><Relationship Type="http://schemas.openxmlformats.org/officeDocument/2006/relationships/hyperlink" Target="https://www.abs.gov.au/census/find-census-data/community-profiles/2021/LGA15950" TargetMode="External" Id="rId38"/><Relationship Type="http://schemas.openxmlformats.org/officeDocument/2006/relationships/hyperlink" Target="https://www.abs.gov.au/census/find-census-data/community-profiles/2021/LGA15350" TargetMode="External" Id="rId39"/><Relationship Type="http://schemas.openxmlformats.org/officeDocument/2006/relationships/hyperlink" Target="https://www.abs.gov.au/census/find-census-data/community-profiles/2021/LGA16700" TargetMode="External" Id="rId40"/><Relationship Type="http://schemas.openxmlformats.org/officeDocument/2006/relationships/hyperlink" Target="https://www.abs.gov.au/census/find-census-data/community-profiles/2016/LGA18250" TargetMode="External" Id="rId41"/><Relationship Type="http://schemas.openxmlformats.org/officeDocument/2006/relationships/hyperlink" Target="https://www.abs.gov.au/census/find-census-data/community-profiles/2016/LGA14100" TargetMode="External" Id="rId42"/><Relationship Type="http://schemas.openxmlformats.org/officeDocument/2006/relationships/hyperlink" Target="https://www.abs.gov.au/census/find-census-data/community-profiles/2016/LGA15950" TargetMode="External" Id="rId43"/><Relationship Type="http://schemas.openxmlformats.org/officeDocument/2006/relationships/hyperlink" Target="https://www.abs.gov.au/census/find-census-data/community-profiles/2016/LGA15350" TargetMode="External" Id="rId44"/><Relationship Type="http://schemas.openxmlformats.org/officeDocument/2006/relationships/hyperlink" Target="https://www.abs.gov.au/census/find-census-data/community-profiles/2016/LGA16700" TargetMode="External" Id="rId45"/><Relationship Type="http://schemas.openxmlformats.org/officeDocument/2006/relationships/hyperlink" Target="https://www.abs.gov.au/census/find-census-data/community-profiles/2016/1GSYD" TargetMode="External" Id="rId46"/><Relationship Type="http://schemas.openxmlformats.org/officeDocument/2006/relationships/hyperlink" Target="https://www.abs.gov.au/census/find-census-data/community-profiles/2021/1GSYD" TargetMode="External" Id="rId47"/><Relationship Type="http://schemas.openxmlformats.org/officeDocument/2006/relationships/hyperlink" Target="https://education.nsw.gov.au/policy-library/policies/pd-2002-0006-01.html" TargetMode="External" Id="rId48"/></Relationships>
</file>

<file path=xl/worksheets/sheet1.xml><?xml version="1.0" encoding="utf-8"?>
<worksheet xmlns="http://schemas.openxmlformats.org/spreadsheetml/2006/main">
  <sheetPr>
    <outlinePr summaryBelow="1" summaryRight="1"/>
    <pageSetUpPr fitToPage="1"/>
  </sheetPr>
  <dimension ref="A1:C112"/>
  <sheetViews>
    <sheetView showGridLines="0" workbookViewId="0">
      <selection activeCell="A1" sqref="A1"/>
    </sheetView>
  </sheetViews>
  <sheetFormatPr baseColWidth="8" defaultRowHeight="15"/>
  <cols>
    <col width="3" customWidth="1" min="1" max="1"/>
    <col width="36" customWidth="1" min="2" max="2"/>
    <col width="100" customWidth="1" min="3" max="3"/>
  </cols>
  <sheetData>
    <row r="1"/>
    <row r="2" ht="24" customHeight="1">
      <c r="B2" s="1" t="inlineStr">
        <is>
          <t>Lane Cove schools, Part 2: data appendix</t>
        </is>
      </c>
    </row>
    <row r="3" ht="16.5" customHeight="1">
      <c r="B3" s="2" t="inlineStr">
        <is>
          <t>Draft v2, 21 October 2026. ABS Births 2025 (due 6 November 2026) will be added before publication.</t>
        </is>
      </c>
    </row>
    <row r="4"/>
    <row r="5" ht="30" customHeight="1">
      <c r="B5" s="3" t="inlineStr">
        <is>
          <t>The figures behind In the Cove's Part 2 article on kindergarten at Lane Cove's schools. Checked against the article as drafted on 26 October 2026. Part 1, published in April 2026, is linked below.</t>
        </is>
      </c>
    </row>
    <row r="6" ht="16.5" customHeight="1">
      <c r="B6" s="4" t="inlineStr">
        <is>
          <t>In the Cove, April 2026: Lane Cove Schools, Part 1</t>
        </is>
      </c>
    </row>
    <row r="7"/>
    <row r="8" ht="24" customHeight="1">
      <c r="B8" s="5" t="inlineStr">
        <is>
          <t>Where to find what the article points to</t>
        </is>
      </c>
    </row>
    <row r="9" ht="30" customHeight="1">
      <c r="B9" s="6" t="inlineStr">
        <is>
          <t>Every figure in this article: Article figures</t>
        </is>
      </c>
      <c r="C9" s="3" t="inlineStr">
        <is>
          <t>Every figure in the article, the cell that holds it and how it is worked out. The detail behind each one is on the sheet it points to.</t>
        </is>
      </c>
    </row>
    <row r="10" ht="30" customHeight="1">
      <c r="B10" s="6" t="inlineStr">
        <is>
          <t>Earlier years for every school: School totals</t>
        </is>
      </c>
      <c r="C10" s="3" t="inlineStr">
        <is>
          <t>Every year from 2009 to 2025 for all six schools in the article's table, with the four inside the council area added up; kindergarten for the same years is on the Kindergarten sheet.</t>
        </is>
      </c>
    </row>
    <row r="11" ht="30" customHeight="1">
      <c r="B11" s="6" t="inlineStr">
        <is>
          <t>The area-by-area figures: Areas within Lane Cove</t>
        </is>
      </c>
      <c r="C11" s="4" t="inlineStr">
        <is>
          <t>Children aged 5 to 9 and under five in the ABS's Greenwich-Riverview and Lane Cove areas and the rest of the council area, with Greenwich Public's and Lane Cove West Public's kindergarten.</t>
        </is>
      </c>
    </row>
    <row r="12" ht="43.5" customHeight="1">
      <c r="B12" s="6" t="inlineStr">
        <is>
          <t>The full working: Resident children ratio</t>
        </is>
      </c>
      <c r="C12" s="3" t="inlineStr">
        <is>
          <t>The five schools, the council area with and without Mowbray, the six councils and Greater Sydney, per 1,000 children aged 5 to 9, year by year and by council. The fair split of Mowbray is on Mowbray and the boundary, and the five-year-old check on Five-year-olds.</t>
        </is>
      </c>
    </row>
    <row r="13" ht="57" customHeight="1">
      <c r="B13" s="6" t="inlineStr">
        <is>
          <t>The detail behind the figures: Enrolment caps</t>
        </is>
      </c>
      <c r="C13" s="3" t="inlineStr">
        <is>
          <t>Also: Zone changes (Chatswood to Mowbray in December 2021, and 150 Epping Road from 2027), Nearby public primaries (the 13 outside the council area, school by school), Six councils (the births behind the classes), Sector kindergarten (2016 to 2025 by sector, without the International Chinese School, and Reddam House North Shore), Births by financial year and Population 2024-25.</t>
        </is>
      </c>
    </row>
    <row r="14" ht="16.5" customHeight="1">
      <c r="B14" s="2" t="inlineStr">
        <is>
          <t>The windows we used for each ratio</t>
        </is>
      </c>
      <c r="C14" s="3" t="inlineStr">
        <is>
          <t>Listed under 'Windows used for each ratio', below.</t>
        </is>
      </c>
    </row>
    <row r="15"/>
    <row r="16" ht="24" customHeight="1">
      <c r="B16" s="5" t="inlineStr">
        <is>
          <t>What is in this workbook</t>
        </is>
      </c>
    </row>
    <row r="17" ht="16.5" customHeight="1">
      <c r="B17" s="6" t="inlineStr">
        <is>
          <t>Article figures</t>
        </is>
      </c>
      <c r="C17" s="3" t="inlineStr">
        <is>
          <t>Every figure in the article, the cell that holds it, and how it is worked out.</t>
        </is>
      </c>
    </row>
    <row r="18" ht="30" customHeight="1">
      <c r="B18" s="6" t="inlineStr">
        <is>
          <t>School totals</t>
        </is>
      </c>
      <c r="C18" s="4" t="inlineStr">
        <is>
          <t>Total enrolments at the six schools, 2009 to 2025. Headcount, all year levels including support classes, August census. ACARA, keyed on school ID.</t>
        </is>
      </c>
    </row>
    <row r="19" ht="30" customHeight="1">
      <c r="B19" s="6" t="inlineStr">
        <is>
          <t>Kindergarten</t>
        </is>
      </c>
      <c r="C19" s="4" t="inlineStr">
        <is>
          <t>Kindergarten at the six schools, 2009 to 2025. ACARA 'One year before Year 1' headcount, August census, keyed on school ID.</t>
        </is>
      </c>
    </row>
    <row r="20" ht="30" customHeight="1">
      <c r="B20" s="6" t="inlineStr">
        <is>
          <t>Department cross-check</t>
        </is>
      </c>
      <c r="C20" s="4" t="inlineStr">
        <is>
          <t>ACARA totals against the NSW Department of Education headcount. The five government schools, 2009 to 2025. Both are August counts of all students.</t>
        </is>
      </c>
    </row>
    <row r="21" ht="30" customHeight="1">
      <c r="B21" s="6" t="inlineStr">
        <is>
          <t>Council-area kindergarten</t>
        </is>
      </c>
      <c r="C21" s="4" t="inlineStr">
        <is>
          <t>Kindergarten at every school in Lane Cove council area, 2009 to 2025. All sectors. Special schools are left out. ACARA, keyed on school ID.</t>
        </is>
      </c>
    </row>
    <row r="22" ht="30" customHeight="1">
      <c r="B22" s="6" t="inlineStr">
        <is>
          <t>Nearby public primaries</t>
        </is>
      </c>
      <c r="C22" s="4" t="inlineStr">
        <is>
          <t>The 15 nearby public primary schools we tracked in April, 2014 to 2025. Total enrolments, all year levels including support classes. ACARA, keyed on school ID.</t>
        </is>
      </c>
    </row>
    <row r="23" ht="30" customHeight="1">
      <c r="B23" s="6" t="inlineStr">
        <is>
          <t>NSW primary enrolments</t>
        </is>
      </c>
      <c r="C23" s="4" t="inlineStr">
        <is>
          <t>NSW primary school students by sector, 2006 to 2025. Full-time and part-time primary students. ABS Schools, Table 42b.</t>
        </is>
      </c>
    </row>
    <row r="24" ht="57" customHeight="1">
      <c r="B24" s="6" t="inlineStr">
        <is>
          <t>Schools in the six councils</t>
        </is>
      </c>
      <c r="C24" s="4" t="inlineStr">
        <is>
          <t>Kindergarten at every school in the six councils, 2016 to 2025. ACARA 'One year before Year 1' headcount, August census, at each school located in Lane Cove, Willoughby, Hunters Hill, North Sydney, Mosman and Ryde council areas; special schools left out. The council and sector totals below the list are our sums, by formula.</t>
        </is>
      </c>
    </row>
    <row r="25" ht="57" customHeight="1">
      <c r="B25" s="6" t="inlineStr">
        <is>
          <t>Six councils</t>
        </is>
      </c>
      <c r="C25" s="4" t="inlineStr">
        <is>
          <t>Kindergarten and the births behind it, by council. Lane Cove and five nearby councils. Kindergarten counted by the school's council area, all sectors: council totals are our sums of ACARA's school figures, on the Schools in the six councils sheet. Births are births registered to residents of each council area (ABS).</t>
        </is>
      </c>
    </row>
    <row r="26" ht="30" customHeight="1">
      <c r="B26" s="6" t="inlineStr">
        <is>
          <t>Sector kindergarten</t>
        </is>
      </c>
      <c r="C26" s="4" t="inlineStr">
        <is>
          <t>Kindergarten by school sector, 2016 to 2025. Counted where the school is. ACARA 'One year before Year 1', August census; special schools left out. Area and sector totals are our sums of ACARA's school figures.</t>
        </is>
      </c>
    </row>
    <row r="27" ht="43.5" customHeight="1">
      <c r="B27" s="6" t="inlineStr">
        <is>
          <t>Private kindy and births</t>
        </is>
      </c>
      <c r="C27" s="3" t="inlineStr">
        <is>
          <t>Catholic and independent kindergarten against births, by council. Yearly averages: kindergarten 2016 to 2019 and 2023 to 2025, against births 2011 to 2014 and 2018 to 2020. Formulas where the yearly figures are in this workbook (Lane Cove, and the six councils' kindergarten); the rest are in yellow.</t>
        </is>
      </c>
    </row>
    <row r="28" ht="30" customHeight="1">
      <c r="B28" s="6" t="inlineStr">
        <is>
          <t>Census sector shares</t>
        </is>
      </c>
      <c r="C28" s="4" t="inlineStr">
        <is>
          <t>Primary students living in each council area, by school sector. ABS Census 2011, 2016 and 2021, by place of usual residence (Time Series Profile).</t>
        </is>
      </c>
    </row>
    <row r="29" ht="30" customHeight="1">
      <c r="B29" s="6" t="inlineStr">
        <is>
          <t>Moving house</t>
        </is>
      </c>
      <c r="C29" s="4" t="inlineStr">
        <is>
          <t>Children aged 5 to 9 against children aged 0 to 4 five years earlier. ABS estimated resident population at 30 June. Lane Cove council area and Greater Sydney.</t>
        </is>
      </c>
    </row>
    <row r="30" ht="57" customHeight="1">
      <c r="B30" s="6" t="inlineStr">
        <is>
          <t>Resident children ratio</t>
        </is>
      </c>
      <c r="C30" s="4" t="inlineStr">
        <is>
          <t>Kindergarten per 1,000 children aged 5 to 9 living in the area. Our arithmetic from ACARA kindergarten (schools located in the area) and ABS estimates at 30 June. Lane Cove is shown three ways: the article's five schools (Mowbray in, Currambena out), the council area's own schools plus all of Mowbray, and the council area's own schools only.</t>
        </is>
      </c>
    </row>
    <row r="31" ht="43.5" customHeight="1">
      <c r="B31" s="6" t="inlineStr">
        <is>
          <t>Areas within Lane Cove</t>
        </is>
      </c>
      <c r="C31" s="4" t="inlineStr">
        <is>
          <t>Children in three parts of the council area, and the matching schools' kindergarten. ABS estimated resident population at 30 June for the two ABS areas (SA2s) inside the council area, Lane Cove and Greenwich - Riverview; the rest of the council area is the council-area figure less those two.</t>
        </is>
      </c>
    </row>
    <row r="32" ht="43.5" customHeight="1">
      <c r="B32" s="6" t="inlineStr">
        <is>
          <t>Mowbray and the boundary</t>
        </is>
      </c>
      <c r="C32" s="4" t="inlineStr">
        <is>
          <t>The council boundary, Mowbray's catchment and a fair split of its kindergarten. People counted at the 2021 Census, placed in public school catchments with the Department of Education's catchment maps (our working on the ABS mesh block counts), and the kindergarten working behind the article's 'about 17% to 20%'.</t>
        </is>
      </c>
    </row>
    <row r="33" ht="43.5" customHeight="1">
      <c r="B33" s="6" t="inlineStr">
        <is>
          <t>Five-year-olds</t>
        </is>
      </c>
      <c r="C33" s="4" t="inlineStr">
        <is>
          <t>Kindergarten per 100 five-year-olds living in the area (our estimate). Five-year-olds estimated from the ABS 5 to 9 estimates at 30 June, split by single year of age from the 2016 and 2021 Census community profiles (table G04). Kindergarten as on the Resident children ratio sheet.</t>
        </is>
      </c>
    </row>
    <row r="34" ht="30" customHeight="1">
      <c r="B34" s="6" t="inlineStr">
        <is>
          <t>Enrolment caps</t>
        </is>
      </c>
      <c r="C34" s="4" t="inlineStr">
        <is>
          <t>Enrolment caps at the public schools in and around Lane Cove, 2020 and 2021. Caps as tabled in NSW Parliament (Budget Estimates 2019-2020 and 2020-2021), set against ACARA's August enrolments and kindergarten.</t>
        </is>
      </c>
    </row>
    <row r="35" ht="43.5" customHeight="1">
      <c r="B35" s="6" t="inlineStr">
        <is>
          <t>Zone changes</t>
        </is>
      </c>
      <c r="C35" s="4" t="inlineStr">
        <is>
          <t>Changes to public school catchments around Lane Cove since 2017. From the Department of Education's catchment maps, every copy from June 2017 to October 2026 plus the future layer for 2027. People and dwellings are 2021 Census counts (our working on the ABS mesh block counts).</t>
        </is>
      </c>
    </row>
    <row r="36" ht="30" customHeight="1">
      <c r="B36" s="6" t="inlineStr">
        <is>
          <t>Year 4 to Year 5</t>
        </is>
      </c>
      <c r="C36" s="4" t="inlineStr">
        <is>
          <t>Year 5 against the same children's Year 4, three Lane Cove public schools. Lane Cove Public, Lane Cove West Public and Greenwich Public combined (our sums of each school's ACARA figures). ACARA, August census.</t>
        </is>
      </c>
    </row>
    <row r="37" ht="30" customHeight="1">
      <c r="B37" s="6" t="inlineStr">
        <is>
          <t>Year 5 intake, private schools</t>
        </is>
      </c>
      <c r="C37" s="4" t="inlineStr">
        <is>
          <t>Year 5 net intake at named nearby non-government schools, 2010 to 2025. Our arithmetic from ACARA figures: Year 5 at the school minus Year 4 at the same school a year earlier (August census).</t>
        </is>
      </c>
    </row>
    <row r="38" ht="30" customHeight="1">
      <c r="B38" s="6" t="inlineStr">
        <is>
          <t>Births and under-fives</t>
        </is>
      </c>
      <c r="C38" s="4" t="inlineStr">
        <is>
          <t>Lane Cove births, fertility rate and children under five, 2011 to 2036. Births by year of registration (ABS). Under-fives: ABS estimate and NSW 2024 projection, 30 June.</t>
        </is>
      </c>
    </row>
    <row r="39" ht="30" customHeight="1">
      <c r="B39" s="6" t="inlineStr">
        <is>
          <t>Kindergarten projection</t>
        </is>
      </c>
      <c r="C39" s="3" t="inlineStr">
        <is>
          <t>Kindergarten at the five schools: what the next four years could look like. Our arithmetic, not an official forecast. Every child who starts kindergarten up to 2029 has already been born.</t>
        </is>
      </c>
    </row>
    <row r="40" ht="30" customHeight="1">
      <c r="B40" s="6" t="inlineStr">
        <is>
          <t>Births by financial year</t>
        </is>
      </c>
      <c r="C40" s="4" t="inlineStr">
        <is>
          <t>Births to Lane Cove residents by financial year, 2021-22 to 2024-25. ABS Regional population 2024-25, population components by council area. 2024-25 is preliminary.</t>
        </is>
      </c>
    </row>
    <row r="41" ht="30" customHeight="1">
      <c r="B41" s="6" t="inlineStr">
        <is>
          <t>Fertility by council</t>
        </is>
      </c>
      <c r="C41" s="4" t="inlineStr">
        <is>
          <t>Fertility rate, Lane Cove and five nearby councils, 2013 to 2024. ABS Births, Australia 2024. Council rates are three-year averages: 2024 is the average for 2022 to 2024.</t>
        </is>
      </c>
    </row>
    <row r="42" ht="30" customHeight="1">
      <c r="B42" s="6" t="inlineStr">
        <is>
          <t>Population 2024-25</t>
        </is>
      </c>
      <c r="C42" s="4" t="inlineStr">
        <is>
          <t>Lane Cove's population and the components of change, years to June 2022 to 2025. ABS Regional population 2024-25 (2025 council boundaries). 2024-25 components are preliminary.</t>
        </is>
      </c>
    </row>
    <row r="43" ht="16.5" customHeight="1">
      <c r="B43" s="6" t="inlineStr">
        <is>
          <t>Housing (Census 2021)</t>
        </is>
      </c>
      <c r="C43" s="4" t="inlineStr">
        <is>
          <t>Flats and apartments, Lane Cove council area and NSW. ABS Census QuickStats, dwelling structure.</t>
        </is>
      </c>
    </row>
    <row r="44" ht="43.5" customHeight="1">
      <c r="B44" s="6" t="inlineStr">
        <is>
          <t>School figures 2026</t>
        </is>
      </c>
      <c r="C44" s="3" t="inlineStr">
        <is>
          <t>Start-of-year figures published by the schools. Taken from the schools' own newsletters, each linked beside its figures. Start-of-year counts, not census data, so not comparable with the August census figures on the other sheets.</t>
        </is>
      </c>
    </row>
    <row r="45" ht="16.5" customHeight="1">
      <c r="B45" s="6" t="inlineStr">
        <is>
          <t>Sources</t>
        </is>
      </c>
      <c r="C45" s="3" t="inlineStr">
        <is>
          <t>Every source, with links.</t>
        </is>
      </c>
    </row>
    <row r="46"/>
    <row r="47" ht="24" customHeight="1">
      <c r="B47" s="5" t="inlineStr">
        <is>
          <t>How to read it</t>
        </is>
      </c>
    </row>
    <row r="48" ht="16.5" customHeight="1">
      <c r="B48" s="3" t="inlineStr">
        <is>
          <t>Every figure in the article is listed on the Article figures sheet, with a link to the cell that holds it.</t>
        </is>
      </c>
    </row>
    <row r="49" ht="97.5" customHeight="1">
      <c r="B49" s="4" t="inlineStr">
        <is>
          <t>In the body of each table, white cells are official figures, or figures we worked out from them without a formula: Greater Sydney's kindergarten by sector (our sums of school figures not reproduced here), the three Lane Cove public schools' combined Year 4 and Year 5, Year 5 net intake at the named nearby schools, the year of each school's high, the 2021 Census people in each school catchment (our working on the mesh block counts), and the children's shares and whole-catchment populations of Mowbray's catchment (our 20 October 2026 review). Each is described beside its table. Grey cells are worked out by formula from figures in this workbook, so the working can be checked and changed; they include the council, sector and six-council kindergarten totals, which add up the schools on the Schools in the six councils sheet. Header rows are shaded pale red and are labels only.</t>
        </is>
      </c>
    </row>
    <row r="50" ht="30" customHeight="1">
      <c r="B50" s="3" t="inlineStr">
        <is>
          <t>Pale yellow cells, on the Private kindy and births sheet, are period averages we worked out from official yearly figures that are not reproduced in this workbook. The source table and the years are stated beside the table.</t>
        </is>
      </c>
    </row>
    <row r="51" ht="16.5" customHeight="1">
      <c r="B51" s="3" t="inlineStr">
        <is>
          <t>To the right of each table: the article sentences it supports, how the figures are worked out, and the sources, with links.</t>
        </is>
      </c>
    </row>
    <row r="52" ht="16.5" customHeight="1">
      <c r="B52" s="3" t="inlineStr">
        <is>
          <t>Ratios, averages and comparisons marked as our arithmetic are In the Cove's own calculations, not official measures.</t>
        </is>
      </c>
    </row>
    <row r="53"/>
    <row r="54" ht="24" customHeight="1">
      <c r="B54" s="5" t="inlineStr">
        <is>
          <t>Method rules</t>
        </is>
      </c>
    </row>
    <row r="55" ht="16.5" customHeight="1">
      <c r="B55" s="3" t="inlineStr">
        <is>
          <t>Schools are matched on their ACARA school ID (and, for government schools, the NSW Department of Education school code), never on name.</t>
        </is>
      </c>
    </row>
    <row r="56" ht="16.5" customHeight="1">
      <c r="B56" s="4" t="inlineStr">
        <is>
          <t>The year of every school figure is ACARA's Calendar Year.</t>
        </is>
      </c>
    </row>
    <row r="57" ht="16.5" customHeight="1">
      <c r="B57" s="3" t="inlineStr">
        <is>
          <t>Enrolments are headcount totals for all year levels, including support classes.</t>
        </is>
      </c>
    </row>
    <row r="58" ht="16.5" customHeight="1">
      <c r="B58" s="4" t="inlineStr">
        <is>
          <t>School figures are from the August census (ACARA and the Department's August headcount).</t>
        </is>
      </c>
    </row>
    <row r="59" ht="30" customHeight="1">
      <c r="B59" s="4" t="inlineStr">
        <is>
          <t>School peaks are taken over one fixed window, 2014 to 2025, and the peak year is always shown. The statewide NSW government peak is taken over the whole ABS series, 2006 to 2025.</t>
        </is>
      </c>
    </row>
    <row r="60" ht="30" customHeight="1">
      <c r="B60" s="4" t="inlineStr">
        <is>
          <t>Kindergarten figures start in 2009, because ACARA's 2008 file has no year-level figures for the schools in this workbook (it has their total enrolments).</t>
        </is>
      </c>
    </row>
    <row r="61" ht="16.5" customHeight="1">
      <c r="B61" s="4" t="inlineStr">
        <is>
          <t>Kindergarten is ACARA's 'One year before Year 1' headcount. Special schools are left out of kindergarten totals.</t>
        </is>
      </c>
    </row>
    <row r="62" ht="16.5" customHeight="1">
      <c r="B62" s="3" t="inlineStr">
        <is>
          <t>Like is compared with like: the same years on both sides of each comparison.</t>
        </is>
      </c>
    </row>
    <row r="63" ht="16.5" customHeight="1">
      <c r="B63" s="3" t="inlineStr">
        <is>
          <t>No figures are taken from aggregator websites.</t>
        </is>
      </c>
    </row>
    <row r="64"/>
    <row r="65" ht="24" customHeight="1">
      <c r="B65" s="5" t="inlineStr">
        <is>
          <t>Windows used for each ratio</t>
        </is>
      </c>
    </row>
    <row r="66" ht="57" customHeight="1">
      <c r="B66" s="2" t="inlineStr">
        <is>
          <t>Kindergarten against births</t>
        </is>
      </c>
      <c r="C66" s="4" t="inlineStr">
        <is>
          <t>The kindergarten class of year Y (August census) against births registered to residents in year Y minus 5 (ABS, by year of registration). The classes of 2016 to 2019 against births 2011 to 2014, and the classes of 2023 to 2025 against births 2018 to 2020, as yearly averages; the classes of 2016 to 2020 against births 2011 to 2015. Sheets: Six councils, Births and under-fives, Private kindy and births.</t>
        </is>
      </c>
    </row>
    <row r="67" ht="43.5" customHeight="1">
      <c r="B67" s="2" t="inlineStr">
        <is>
          <t>Moving house</t>
        </is>
      </c>
      <c r="C67" s="3" t="inlineStr">
        <is>
          <t>Children aged 5 to 9 at 30 June of year Y against children aged 0 to 4 at 30 June of year Y minus 5: the under-five year is five years before the five-to-nine year. 2025 is aged 5 to 9 in 2025 against aged 0 to 4 in 2020; 2017 is 5 to 9 in 2017 against 0 to 4 in 2012. Sheet: Moving house.</t>
        </is>
      </c>
    </row>
    <row r="68" ht="57" customHeight="1">
      <c r="B68" s="2" t="inlineStr">
        <is>
          <t>Kindergarten per 1,000 resident children</t>
        </is>
      </c>
      <c r="C68" s="3" t="inlineStr">
        <is>
          <t>Average yearly kindergarten at the schools counted (all sectors) against the average number of children aged 5 to 9 living in the area at 30 June of the same years, for 2016 to 2019 and 2023 to 2025. Lane Cove counts the article's five schools. The year-by-year figures compare each year's kindergarten with that year's children. Sheets: Resident children ratio, Mowbray and the boundary.</t>
        </is>
      </c>
    </row>
    <row r="69" ht="43.5" customHeight="1">
      <c r="B69" s="2" t="inlineStr">
        <is>
          <t>Kindergarten per 100 five-year-olds</t>
        </is>
      </c>
      <c r="C69" s="4" t="inlineStr">
        <is>
          <t>The same kindergarten against estimated five-year-olds at 30 June of the same years, 2016 to 2019 and 2023 to 2025. Five-year-olds are the ABS 5 to 9 estimate split by single year of age from the 2016 Census (for 2016 to 2018) or the 2021 Census (for 2019 to 2025). Sheet: Five-year-olds.</t>
        </is>
      </c>
    </row>
    <row r="70" ht="43.5" customHeight="1">
      <c r="B70" s="2" t="inlineStr">
        <is>
          <t>Mowbray split</t>
        </is>
      </c>
      <c r="C70" s="3" t="inlineStr">
        <is>
          <t>Mowbray's kindergarten is split by the share of its catchment's 2021 Census people living in Lane Cove council area: the earlier map's share for the intakes to 2021, the current map's from 2022. Sheet: Mowbray and the boundary.</t>
        </is>
      </c>
    </row>
    <row r="71" ht="43.5" customHeight="1">
      <c r="B71" s="2" t="inlineStr">
        <is>
          <t>Areas within Lane Cove</t>
        </is>
      </c>
      <c r="C71" s="3" t="inlineStr">
        <is>
          <t>Children aged 5 to 9 in 2016 to 2019 against 2023 to 2025; children under five in 2011 to 2014 against 2018 to 2020 (five years earlier); each school's kindergarten in 2016 to 2019 against 2023 to 2025. Sheet: Areas within Lane Cove.</t>
        </is>
      </c>
    </row>
    <row r="72" ht="30" customHeight="1">
      <c r="B72" s="2" t="inlineStr">
        <is>
          <t>Enrolment caps</t>
        </is>
      </c>
      <c r="C72" s="3" t="inlineStr">
        <is>
          <t>2019 enrolments against the caps set for 2020; enrolments in 2020 to 2025 against the same cap; kindergarten in 2016 to 2019 against 2023 to 2025. Sheet: Enrolment caps.</t>
        </is>
      </c>
    </row>
    <row r="73" ht="43.5" customHeight="1">
      <c r="B73" s="2" t="inlineStr">
        <is>
          <t>Catholic and independent kindergarten against births</t>
        </is>
      </c>
      <c r="C73" s="3" t="inlineStr">
        <is>
          <t>For each council: the 2023 to 2025 average kindergarten minus the 2016 to 2019 average scaled by births (average births registered 2018 to 2020 divided by average births registered 2011 to 2014). Sheet: Private kindy and births.</t>
        </is>
      </c>
    </row>
    <row r="74" ht="30" customHeight="1">
      <c r="B74" s="2" t="inlineStr">
        <is>
          <t>Government kindergarten fall</t>
        </is>
      </c>
      <c r="C74" s="3" t="inlineStr">
        <is>
          <t>Average yearly government kindergarten across the six councils, 2016 to 2019 against 2023 to 2025. Sheet: Sector kindergarten.</t>
        </is>
      </c>
    </row>
    <row r="75" ht="30" customHeight="1">
      <c r="B75" s="2" t="inlineStr">
        <is>
          <t>Year 4 to Year 5</t>
        </is>
      </c>
      <c r="C75" s="3" t="inlineStr">
        <is>
          <t>Year 5 at the three Lane Cove public schools in year Y against Year 4 at the same schools in year Y minus 1, pooled over 2010 to 2015, 2016 to 2019 and 2020 to 2025. Sheet: Year 4 to Year 5.</t>
        </is>
      </c>
    </row>
    <row r="76" ht="30" customHeight="1">
      <c r="B76" s="2" t="inlineStr">
        <is>
          <t>Year 5 intake at nearby non-government schools</t>
        </is>
      </c>
      <c r="C76" s="3" t="inlineStr">
        <is>
          <t>Year 5 at the school in year Y minus Year 4 at the same school in year Y minus 1, each year from 2010 to 2025. Sheet: Year 5 intake, private schools.</t>
        </is>
      </c>
    </row>
    <row r="77" ht="43.5" customHeight="1">
      <c r="B77" s="2" t="inlineStr">
        <is>
          <t>Fertility rates</t>
        </is>
      </c>
      <c r="C77" s="4" t="inlineStr">
        <is>
          <t>Council-area rates are ABS three-year averages: the 2024 figure is the average for 2022 to 2024, the 2023 figure for 2021 to 2023 and the 2018 figure for 2016 to 2018. Sheets: Births and under-fives, Fertility by council.</t>
        </is>
      </c>
    </row>
    <row r="78" ht="30" customHeight="1">
      <c r="B78" s="2" t="inlineStr">
        <is>
          <t>Projection against estimate</t>
        </is>
      </c>
      <c r="C78" s="4" t="inlineStr">
        <is>
          <t>The NSW 2024 projection of children aged 0 to 4 against the ABS estimate, both for 30 June 2025. Sheet: Births and under-fives.</t>
        </is>
      </c>
    </row>
    <row r="79" ht="30" customHeight="1">
      <c r="B79" s="2" t="inlineStr">
        <is>
          <t>Census sector shares</t>
        </is>
      </c>
      <c r="C79" s="3" t="inlineStr">
        <is>
          <t>Primary students living in each council area, by the sector of the school they attend, at the 2011, 2016 and 2021 Censuses. Sheet: Census sector shares.</t>
        </is>
      </c>
    </row>
    <row r="80"/>
    <row r="81" ht="24" customHeight="1">
      <c r="B81" s="5" t="inlineStr">
        <is>
          <t>Things to keep in mind</t>
        </is>
      </c>
    </row>
    <row r="82" ht="30" customHeight="1">
      <c r="B82" s="3" t="inlineStr">
        <is>
          <t>Births are counted by year of registration, not year of birth. In NSW, registration timing depressed 2014, 2016 and 2017, inflated 2018 and understated 2024.</t>
        </is>
      </c>
    </row>
    <row r="83" ht="16.5" customHeight="1">
      <c r="B83" s="4" t="inlineStr">
        <is>
          <t>ABS population estimates after 2021 will be revised after the 2026 Census.</t>
        </is>
      </c>
    </row>
    <row r="84" ht="16.5" customHeight="1">
      <c r="B84" s="3" t="inlineStr">
        <is>
          <t>Births for the year to June 2025 are preliminary, and small-area counts swing from year to year.</t>
        </is>
      </c>
    </row>
    <row r="85" ht="16.5" customHeight="1">
      <c r="B85" s="3" t="inlineStr">
        <is>
          <t>Every share of Mowbray's catchment applies 2021 Census counts to both periods, and no catchment map was recovered for the 2016 intake.</t>
        </is>
      </c>
    </row>
    <row r="86" ht="16.5" customHeight="1">
      <c r="B86" s="3" t="inlineStr">
        <is>
          <t>Kindergarten is counted where the school is, and children cross council boundaries in both directions.</t>
        </is>
      </c>
    </row>
    <row r="87" ht="16.5" customHeight="1">
      <c r="B87" s="4" t="inlineStr">
        <is>
          <t>The ABS slightly adjusts small Census counts to protect privacy, so parts may not add exactly to totals.</t>
        </is>
      </c>
    </row>
    <row r="88" ht="16.5" customHeight="1">
      <c r="B88" s="3" t="inlineStr">
        <is>
          <t>Start-of-year figures published by the schools are not census data and are kept on their own sheet.</t>
        </is>
      </c>
    </row>
    <row r="89"/>
    <row r="90" ht="24" customHeight="1">
      <c r="B90" s="5" t="inlineStr">
        <is>
          <t>Coverage notes</t>
        </is>
      </c>
    </row>
    <row r="91" ht="30" customHeight="1">
      <c r="B91" s="3" t="inlineStr">
        <is>
          <t>Mowbray Public and Chatswood Public are in Willoughby council area. Lane Cove Public, Lane Cove West Public, Greenwich Public and St Michael's Catholic Primary are in Lane Cove council area.</t>
        </is>
      </c>
    </row>
    <row r="92" ht="30" customHeight="1">
      <c r="B92" s="3" t="inlineStr">
        <is>
          <t>St Mary's Catholic Primary School, North Sydney (ACARA 43440) merged into Marist Catholic College North Shore from 2021. Its kindergarten up to 2020 is included in the North Sydney and six-council figures.</t>
        </is>
      </c>
    </row>
    <row r="93" ht="70.5" customHeight="1">
      <c r="B93" s="4" t="inlineStr">
        <is>
          <t>Reddam House North Shore, an independent school in North Sydney, is not in the six-council figures in any year. ACARA lists it as a sub-campus of Reddam House, whose head campus is in Woollahra, and reports it under the head campus's school ID. From 2016 to 2019, ACARA's only Reddam House enrolment figures are the head campus's, located in Woollahra and so outside the six councils; after 2019 ACARA has no Reddam House enrolment figures at all. Any kindergarten at the North Shore campus therefore cannot be seen in these figures. Reddam House is left out of the Greater Sydney figures in every year, 2016 to 2019 included, because ACARA has no Reddam House enrolment figures from 2020 to 2025.</t>
        </is>
      </c>
    </row>
    <row r="94" ht="43.5" customHeight="1">
      <c r="B94" s="4" t="inlineStr">
        <is>
          <t>Shore (Sydney Church of England Grammar School) has two preparatory sub-campuses: North Sydney (ACARA 52050) and Northbridge (ACARA 52052, in Willoughby council area). ACARA reports both under the head campus (ACARA 43878) in North Sydney, so Shore's kindergarten is counted in North Sydney's figures, and inside the six-council totals.</t>
        </is>
      </c>
    </row>
    <row r="95"/>
    <row r="96" ht="24" customHeight="1">
      <c r="B96" s="5" t="inlineStr">
        <is>
          <t>Sources named on this sheet</t>
        </is>
      </c>
    </row>
    <row r="97" ht="30" customHeight="1">
      <c r="B97" s="3" t="inlineStr">
        <is>
          <t>A cell can hold only one link, so each line above links the first source it names. Every source named on this sheet is linked here; the Sources sheet lists every source with the sheets that use it.</t>
        </is>
      </c>
    </row>
    <row r="98" ht="16.5" customHeight="1">
      <c r="B98" s="4" t="inlineStr">
        <is>
          <t>ABS Data API: estimated resident population by age, SA2s Lane Cove and Greenwich - Riverview (ERP_ASGS2021)</t>
        </is>
      </c>
    </row>
    <row r="99" ht="16.5" customHeight="1">
      <c r="B99" s="4" t="inlineStr">
        <is>
          <t>ACARA Data Access Program: Enrolments by Grade 2008-2025 and School Locations 2025</t>
        </is>
      </c>
    </row>
    <row r="100" ht="16.5" customHeight="1">
      <c r="B100" s="4" t="inlineStr">
        <is>
          <t>NSW Department of Education: NSW government school enrolments by head count, 2004-2025</t>
        </is>
      </c>
    </row>
    <row r="101" ht="16.5" customHeight="1">
      <c r="B101" s="4" t="inlineStr">
        <is>
          <t>ABS Schools 2025, Table 42b: full-time and part-time students, 2006-2025</t>
        </is>
      </c>
    </row>
    <row r="102" ht="16.5" customHeight="1">
      <c r="B102" s="4" t="inlineStr">
        <is>
          <t>ABS Births, Australia 2024: births and fertility by local government area (33010DC03)</t>
        </is>
      </c>
    </row>
    <row r="103" ht="16.5" customHeight="1">
      <c r="B103" s="4" t="inlineStr">
        <is>
          <t>ABS Data API: 2021 Census Time Series, T13 type of educational institution attending, six council areas (C21_T13_LGA)</t>
        </is>
      </c>
    </row>
    <row r="104" ht="16.5" customHeight="1">
      <c r="B104" s="4" t="inlineStr">
        <is>
          <t>ABS Regional population by age and sex 2025 (32350DS0006)</t>
        </is>
      </c>
    </row>
    <row r="105" ht="16.5" customHeight="1">
      <c r="B105" s="4" t="inlineStr">
        <is>
          <t>NSW Department of Education: school intake zones (catchment areas) for NSW government schools, on Data.NSW</t>
        </is>
      </c>
    </row>
    <row r="106" ht="16.5" customHeight="1">
      <c r="B106" s="4" t="inlineStr">
        <is>
          <t>ABS 2021 Census mesh block counts</t>
        </is>
      </c>
    </row>
    <row r="107" ht="16.5" customHeight="1">
      <c r="B107" s="4" t="inlineStr">
        <is>
          <t>ABS 2016 Census community profiles (General Community Profile), Lane Cove LGA</t>
        </is>
      </c>
    </row>
    <row r="108" ht="16.5" customHeight="1">
      <c r="B108" s="4" t="inlineStr">
        <is>
          <t>NSW Parliament, Budget Estimates 2019-2020: Attachment B to question 355 (enrolment caps set for 2020)</t>
        </is>
      </c>
    </row>
    <row r="109" ht="16.5" customHeight="1">
      <c r="B109" s="4" t="inlineStr">
        <is>
          <t>NSW Department of Planning, Housing and Infrastructure: 2024 population projections</t>
        </is>
      </c>
    </row>
    <row r="110" ht="16.5" customHeight="1">
      <c r="B110" s="4" t="inlineStr">
        <is>
          <t>ABS Regional population 2024-25: population components by council area (ERP_COMP_LGA2025)</t>
        </is>
      </c>
    </row>
    <row r="111" ht="16.5" customHeight="1">
      <c r="B111" s="4" t="inlineStr">
        <is>
          <t>ABS Regional population 2024-25 (32180DS0002)</t>
        </is>
      </c>
    </row>
    <row r="112" ht="16.5" customHeight="1">
      <c r="B112" s="4" t="inlineStr">
        <is>
          <t>ABS 2021 Census QuickStats, Lane Cove LGA</t>
        </is>
      </c>
    </row>
  </sheetData>
  <mergeCells count="53">
    <mergeCell ref="B91:C91"/>
    <mergeCell ref="B97:C97"/>
    <mergeCell ref="B109:C109"/>
    <mergeCell ref="B47:C47"/>
    <mergeCell ref="B16:C16"/>
    <mergeCell ref="B54:C54"/>
    <mergeCell ref="B62:C62"/>
    <mergeCell ref="B100:C100"/>
    <mergeCell ref="B90:C90"/>
    <mergeCell ref="B3:C3"/>
    <mergeCell ref="B59:C59"/>
    <mergeCell ref="B81:C81"/>
    <mergeCell ref="B110:C110"/>
    <mergeCell ref="B93:C93"/>
    <mergeCell ref="B56:C56"/>
    <mergeCell ref="B96:C96"/>
    <mergeCell ref="B102:C102"/>
    <mergeCell ref="B105:C105"/>
    <mergeCell ref="B58:C58"/>
    <mergeCell ref="B52:C52"/>
    <mergeCell ref="B2:C2"/>
    <mergeCell ref="B48:C48"/>
    <mergeCell ref="B86:C86"/>
    <mergeCell ref="B98:C98"/>
    <mergeCell ref="B111:C111"/>
    <mergeCell ref="B61:C61"/>
    <mergeCell ref="B107:C107"/>
    <mergeCell ref="B101:C101"/>
    <mergeCell ref="B60:C60"/>
    <mergeCell ref="B57:C57"/>
    <mergeCell ref="B8:C8"/>
    <mergeCell ref="B88:C88"/>
    <mergeCell ref="B82:C82"/>
    <mergeCell ref="B87:C87"/>
    <mergeCell ref="B112:C112"/>
    <mergeCell ref="B103:C103"/>
    <mergeCell ref="B99:C99"/>
    <mergeCell ref="B84:C84"/>
    <mergeCell ref="B108:C108"/>
    <mergeCell ref="B49:C49"/>
    <mergeCell ref="B65:C65"/>
    <mergeCell ref="B83:C83"/>
    <mergeCell ref="B55:C55"/>
    <mergeCell ref="B6:C6"/>
    <mergeCell ref="B92:C92"/>
    <mergeCell ref="B104:C104"/>
    <mergeCell ref="B5:C5"/>
    <mergeCell ref="B51:C51"/>
    <mergeCell ref="B85:C85"/>
    <mergeCell ref="B50:C50"/>
    <mergeCell ref="B63:C63"/>
    <mergeCell ref="B94:C94"/>
    <mergeCell ref="B106:C106"/>
  </mergeCells>
  <hyperlinks>
    <hyperlink xmlns:r="http://schemas.openxmlformats.org/officeDocument/2006/relationships" ref="B6" r:id="rId1"/>
    <hyperlink ref="B9" location="'Article figures'!A1"/>
    <hyperlink ref="B10" location="'School totals'!A1"/>
    <hyperlink ref="B11" location="'Areas within Lane Cove'!A1"/>
    <hyperlink xmlns:r="http://schemas.openxmlformats.org/officeDocument/2006/relationships" ref="C11" r:id="rId2"/>
    <hyperlink ref="B12" location="'Resident children ratio'!A1"/>
    <hyperlink ref="B13" location="'Enrolment caps'!A1"/>
    <hyperlink ref="B17" location="'Article figures'!A1"/>
    <hyperlink ref="B18" location="'School totals'!A1"/>
    <hyperlink xmlns:r="http://schemas.openxmlformats.org/officeDocument/2006/relationships" ref="C18" r:id="rId3"/>
    <hyperlink ref="B19" location="'Kindergarten'!A1"/>
    <hyperlink xmlns:r="http://schemas.openxmlformats.org/officeDocument/2006/relationships" ref="C19" r:id="rId4"/>
    <hyperlink ref="B20" location="'Department cross-check'!A1"/>
    <hyperlink xmlns:r="http://schemas.openxmlformats.org/officeDocument/2006/relationships" ref="C20" r:id="rId5"/>
    <hyperlink ref="B21" location="'Council-area kindergarten'!A1"/>
    <hyperlink xmlns:r="http://schemas.openxmlformats.org/officeDocument/2006/relationships" ref="C21" r:id="rId6"/>
    <hyperlink ref="B22" location="'Nearby public primaries'!A1"/>
    <hyperlink xmlns:r="http://schemas.openxmlformats.org/officeDocument/2006/relationships" ref="C22" r:id="rId7"/>
    <hyperlink ref="B23" location="'NSW primary enrolments'!A1"/>
    <hyperlink xmlns:r="http://schemas.openxmlformats.org/officeDocument/2006/relationships" ref="C23" r:id="rId8"/>
    <hyperlink ref="B24" location="'Schools in the six councils'!A1"/>
    <hyperlink xmlns:r="http://schemas.openxmlformats.org/officeDocument/2006/relationships" ref="C24" r:id="rId9"/>
    <hyperlink ref="B25" location="'Six councils'!A1"/>
    <hyperlink xmlns:r="http://schemas.openxmlformats.org/officeDocument/2006/relationships" ref="C25" r:id="rId10"/>
    <hyperlink ref="B26" location="'Sector kindergarten'!A1"/>
    <hyperlink xmlns:r="http://schemas.openxmlformats.org/officeDocument/2006/relationships" ref="C26" r:id="rId11"/>
    <hyperlink ref="B27" location="'Private kindy and births'!A1"/>
    <hyperlink ref="B28" location="'Census sector shares'!A1"/>
    <hyperlink xmlns:r="http://schemas.openxmlformats.org/officeDocument/2006/relationships" ref="C28" r:id="rId12"/>
    <hyperlink ref="B29" location="'Moving house'!A1"/>
    <hyperlink xmlns:r="http://schemas.openxmlformats.org/officeDocument/2006/relationships" ref="C29" r:id="rId13"/>
    <hyperlink ref="B30" location="'Resident children ratio'!A1"/>
    <hyperlink xmlns:r="http://schemas.openxmlformats.org/officeDocument/2006/relationships" ref="C30" r:id="rId14"/>
    <hyperlink ref="B31" location="'Areas within Lane Cove'!A1"/>
    <hyperlink xmlns:r="http://schemas.openxmlformats.org/officeDocument/2006/relationships" ref="C31" r:id="rId15"/>
    <hyperlink ref="B32" location="'Mowbray and the boundary'!A1"/>
    <hyperlink xmlns:r="http://schemas.openxmlformats.org/officeDocument/2006/relationships" ref="C32" r:id="rId16"/>
    <hyperlink ref="B33" location="'Five-year-olds'!A1"/>
    <hyperlink xmlns:r="http://schemas.openxmlformats.org/officeDocument/2006/relationships" ref="C33" r:id="rId17"/>
    <hyperlink ref="B34" location="'Enrolment caps'!A1"/>
    <hyperlink xmlns:r="http://schemas.openxmlformats.org/officeDocument/2006/relationships" ref="C34" r:id="rId18"/>
    <hyperlink ref="B35" location="'Zone changes'!A1"/>
    <hyperlink xmlns:r="http://schemas.openxmlformats.org/officeDocument/2006/relationships" ref="C35" r:id="rId19"/>
    <hyperlink ref="B36" location="'Year 4 to Year 5'!A1"/>
    <hyperlink xmlns:r="http://schemas.openxmlformats.org/officeDocument/2006/relationships" ref="C36" r:id="rId20"/>
    <hyperlink ref="B37" location="'Year 5 intake, private schools'!A1"/>
    <hyperlink xmlns:r="http://schemas.openxmlformats.org/officeDocument/2006/relationships" ref="C37" r:id="rId21"/>
    <hyperlink ref="B38" location="'Births and under-fives'!A1"/>
    <hyperlink xmlns:r="http://schemas.openxmlformats.org/officeDocument/2006/relationships" ref="C38" r:id="rId22"/>
    <hyperlink ref="B39" location="'Kindergarten projection'!A1"/>
    <hyperlink ref="B40" location="'Births by financial year'!A1"/>
    <hyperlink xmlns:r="http://schemas.openxmlformats.org/officeDocument/2006/relationships" ref="C40" r:id="rId23"/>
    <hyperlink ref="B41" location="'Fertility by council'!A1"/>
    <hyperlink xmlns:r="http://schemas.openxmlformats.org/officeDocument/2006/relationships" ref="C41" r:id="rId24"/>
    <hyperlink ref="B42" location="'Population 2024-25'!A1"/>
    <hyperlink xmlns:r="http://schemas.openxmlformats.org/officeDocument/2006/relationships" ref="C42" r:id="rId25"/>
    <hyperlink ref="B43" location="'Housing (Census 2021)'!A1"/>
    <hyperlink xmlns:r="http://schemas.openxmlformats.org/officeDocument/2006/relationships" ref="C43" r:id="rId26"/>
    <hyperlink ref="B44" location="'School figures 2026'!A1"/>
    <hyperlink ref="B45" location="'Sources'!A1"/>
    <hyperlink xmlns:r="http://schemas.openxmlformats.org/officeDocument/2006/relationships" ref="B49" r:id="rId27"/>
    <hyperlink xmlns:r="http://schemas.openxmlformats.org/officeDocument/2006/relationships" ref="B56" r:id="rId28"/>
    <hyperlink xmlns:r="http://schemas.openxmlformats.org/officeDocument/2006/relationships" ref="B58" r:id="rId29"/>
    <hyperlink xmlns:r="http://schemas.openxmlformats.org/officeDocument/2006/relationships" ref="B59" r:id="rId30"/>
    <hyperlink xmlns:r="http://schemas.openxmlformats.org/officeDocument/2006/relationships" ref="B60" r:id="rId31"/>
    <hyperlink xmlns:r="http://schemas.openxmlformats.org/officeDocument/2006/relationships" ref="B61" r:id="rId32"/>
    <hyperlink xmlns:r="http://schemas.openxmlformats.org/officeDocument/2006/relationships" ref="C66" r:id="rId33"/>
    <hyperlink xmlns:r="http://schemas.openxmlformats.org/officeDocument/2006/relationships" ref="C69" r:id="rId34"/>
    <hyperlink xmlns:r="http://schemas.openxmlformats.org/officeDocument/2006/relationships" ref="C77" r:id="rId35"/>
    <hyperlink xmlns:r="http://schemas.openxmlformats.org/officeDocument/2006/relationships" ref="C78" r:id="rId36"/>
    <hyperlink xmlns:r="http://schemas.openxmlformats.org/officeDocument/2006/relationships" ref="B83" r:id="rId37"/>
    <hyperlink xmlns:r="http://schemas.openxmlformats.org/officeDocument/2006/relationships" ref="B87" r:id="rId38"/>
    <hyperlink xmlns:r="http://schemas.openxmlformats.org/officeDocument/2006/relationships" ref="B93" r:id="rId39"/>
    <hyperlink xmlns:r="http://schemas.openxmlformats.org/officeDocument/2006/relationships" ref="B94" r:id="rId40"/>
    <hyperlink xmlns:r="http://schemas.openxmlformats.org/officeDocument/2006/relationships" ref="B98" r:id="rId41"/>
    <hyperlink xmlns:r="http://schemas.openxmlformats.org/officeDocument/2006/relationships" ref="B99" r:id="rId42"/>
    <hyperlink xmlns:r="http://schemas.openxmlformats.org/officeDocument/2006/relationships" ref="B100" r:id="rId43"/>
    <hyperlink xmlns:r="http://schemas.openxmlformats.org/officeDocument/2006/relationships" ref="B101" r:id="rId44"/>
    <hyperlink xmlns:r="http://schemas.openxmlformats.org/officeDocument/2006/relationships" ref="B102" r:id="rId45"/>
    <hyperlink xmlns:r="http://schemas.openxmlformats.org/officeDocument/2006/relationships" ref="B103" r:id="rId46"/>
    <hyperlink xmlns:r="http://schemas.openxmlformats.org/officeDocument/2006/relationships" ref="B104" r:id="rId47"/>
    <hyperlink xmlns:r="http://schemas.openxmlformats.org/officeDocument/2006/relationships" ref="B105" r:id="rId48"/>
    <hyperlink xmlns:r="http://schemas.openxmlformats.org/officeDocument/2006/relationships" ref="B106" r:id="rId49"/>
    <hyperlink xmlns:r="http://schemas.openxmlformats.org/officeDocument/2006/relationships" ref="B107" r:id="rId50"/>
    <hyperlink xmlns:r="http://schemas.openxmlformats.org/officeDocument/2006/relationships" ref="B108" r:id="rId51"/>
    <hyperlink xmlns:r="http://schemas.openxmlformats.org/officeDocument/2006/relationships" ref="B109" r:id="rId52"/>
    <hyperlink xmlns:r="http://schemas.openxmlformats.org/officeDocument/2006/relationships" ref="B110" r:id="rId53"/>
    <hyperlink xmlns:r="http://schemas.openxmlformats.org/officeDocument/2006/relationships" ref="B111" r:id="rId54"/>
    <hyperlink xmlns:r="http://schemas.openxmlformats.org/officeDocument/2006/relationships" ref="B112" r:id="rId55"/>
  </hyperlinks>
  <printOptions gridLines="0"/>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164"/>
  <sheetViews>
    <sheetView workbookViewId="0">
      <pane ySplit="4" topLeftCell="A5" activePane="bottomLeft" state="frozen"/>
      <selection pane="bottomLeft" activeCell="A1" sqref="A1"/>
    </sheetView>
  </sheetViews>
  <sheetFormatPr baseColWidth="8" defaultRowHeight="15"/>
  <cols>
    <col width="5" customWidth="1" min="1" max="1"/>
    <col width="16" customWidth="1" min="2" max="2"/>
    <col width="66" customWidth="1" min="3" max="3"/>
    <col width="18" customWidth="1" min="4" max="4"/>
    <col width="14" customWidth="1" min="5" max="5"/>
    <col width="26" customWidth="1" min="6" max="6"/>
    <col width="48" customWidth="1" min="7" max="7"/>
  </cols>
  <sheetData>
    <row r="1">
      <c r="A1" s="7" t="inlineStr">
        <is>
          <t>Every figure in the article, and where to find it</t>
        </is>
      </c>
    </row>
    <row r="2">
      <c r="A2" s="8" t="inlineStr">
        <is>
          <t>Column E reads the value straight from the cell named in column F; click column F to go there.</t>
        </is>
      </c>
    </row>
    <row r="3"/>
    <row r="4">
      <c r="A4" s="9" t="inlineStr">
        <is>
          <t>#</t>
        </is>
      </c>
      <c r="B4" s="9" t="inlineStr">
        <is>
          <t>Part of the article</t>
        </is>
      </c>
      <c r="C4" s="9" t="inlineStr">
        <is>
          <t>What the article says</t>
        </is>
      </c>
      <c r="D4" s="9" t="inlineStr">
        <is>
          <t>Figure as written</t>
        </is>
      </c>
      <c r="E4" s="9" t="inlineStr">
        <is>
          <t>Value in this workbook</t>
        </is>
      </c>
      <c r="F4" s="9" t="inlineStr">
        <is>
          <t>Where to find it</t>
        </is>
      </c>
      <c r="G4" s="9" t="inlineStr">
        <is>
          <t>How it is worked out</t>
        </is>
      </c>
    </row>
    <row r="5" ht="42" customHeight="1">
      <c r="A5" s="10" t="n">
        <v>1</v>
      </c>
      <c r="B5" s="10" t="inlineStr">
        <is>
          <t>Post excerpt</t>
        </is>
      </c>
      <c r="C5" s="10" t="inlineStr">
        <is>
          <t>Five primary schools in and around Lane Cove took 395 children into kindergarten in 2025, the smallest intake in 17 years of published figures.</t>
        </is>
      </c>
      <c r="D5" s="11" t="n">
        <v>395</v>
      </c>
      <c r="E5" s="12">
        <f>'Kindergarten'!H24</f>
        <v>395</v>
      </c>
      <c r="F5" s="13" t="inlineStr">
        <is>
          <t>Kindergarten, cell H24</t>
        </is>
      </c>
      <c r="G5" s="10" t="inlineStr">
        <is>
          <t>Sum of the five schools' kindergarten, 2025 (column H)</t>
        </is>
      </c>
    </row>
    <row r="6" ht="42" customHeight="1">
      <c r="A6" s="10" t="n">
        <v>2</v>
      </c>
      <c r="B6" s="10" t="inlineStr">
        <is>
          <t>Post excerpt</t>
        </is>
      </c>
      <c r="C6" s="10" t="inlineStr">
        <is>
          <t>Five primary schools in and around Lane Cove took 395 children into kindergarten in 2025, the smallest intake in 17 years of published figures.</t>
        </is>
      </c>
      <c r="D6" s="10" t="inlineStr">
        <is>
          <t>the smallest intake</t>
        </is>
      </c>
      <c r="E6" s="14">
        <f>'Kindergarten'!H27</f>
        <v>2025</v>
      </c>
      <c r="F6" s="13" t="inlineStr">
        <is>
          <t>Kindergarten, cell H27</t>
        </is>
      </c>
      <c r="G6" s="10" t="inlineStr">
        <is>
          <t>Year of the lowest kindergarten, 2009 to 2025</t>
        </is>
      </c>
    </row>
    <row r="7" ht="42" customHeight="1">
      <c r="A7" s="10" t="n">
        <v>3</v>
      </c>
      <c r="B7" s="10" t="inlineStr">
        <is>
          <t>Post excerpt</t>
        </is>
      </c>
      <c r="C7" s="10" t="inlineStr">
        <is>
          <t>Five primary schools in and around Lane Cove took 395 children into kindergarten in 2025, the smallest intake in 17 years of published figures.</t>
        </is>
      </c>
      <c r="D7" s="10" t="inlineStr">
        <is>
          <t>17 years</t>
        </is>
      </c>
      <c r="E7" s="12">
        <f>'Kindergarten'!H32</f>
        <v>17</v>
      </c>
      <c r="F7" s="13" t="inlineStr">
        <is>
          <t>Kindergarten, cell H32</t>
        </is>
      </c>
      <c r="G7" s="10" t="inlineStr">
        <is>
          <t>Number of years in the published series, 2009 to 2025</t>
        </is>
      </c>
    </row>
    <row r="8" ht="55" customHeight="1">
      <c r="A8" s="10" t="n">
        <v>4</v>
      </c>
      <c r="B8" s="10" t="inlineStr">
        <is>
          <t>Post excerpt</t>
        </is>
      </c>
      <c r="C8" s="10" t="inlineStr">
        <is>
          <t>The 2018 peak was 518.</t>
        </is>
      </c>
      <c r="D8" s="11" t="n">
        <v>518</v>
      </c>
      <c r="E8" s="12">
        <f>'Kindergarten'!H17</f>
        <v>518</v>
      </c>
      <c r="F8" s="13" t="inlineStr">
        <is>
          <t>Kindergarten, cell H17</t>
        </is>
      </c>
      <c r="G8" s="10" t="inlineStr">
        <is>
          <t>Five schools: Lane Cove Public, Lane Cove West, Greenwich, St Michael's and Mowbray: sum of the five schools' kindergarten, 2018 (column H)</t>
        </is>
      </c>
    </row>
    <row r="9" ht="55" customHeight="1">
      <c r="A9" s="10" t="n">
        <v>5</v>
      </c>
      <c r="B9" s="10" t="inlineStr">
        <is>
          <t>Post excerpt</t>
        </is>
      </c>
      <c r="C9" s="10" t="inlineStr">
        <is>
          <t>The 2018 peak was 518.</t>
        </is>
      </c>
      <c r="D9" s="10" t="inlineStr">
        <is>
          <t>2018 (the peak)</t>
        </is>
      </c>
      <c r="E9" s="14">
        <f>'Kindergarten'!H37</f>
        <v>2018</v>
      </c>
      <c r="F9" s="13" t="inlineStr">
        <is>
          <t>Kindergarten, cell H37</t>
        </is>
      </c>
      <c r="G9" s="10" t="inlineStr">
        <is>
          <t>Five schools: Lane Cove Public, Lane Cove West, Greenwich, St Michael's and Mowbray: year of the highest kindergarten (first, if tied)</t>
        </is>
      </c>
    </row>
    <row r="10" ht="42" customHeight="1">
      <c r="A10" s="10" t="n">
        <v>6</v>
      </c>
      <c r="B10" s="10" t="inlineStr">
        <is>
          <t>At a Glance</t>
        </is>
      </c>
      <c r="C10" s="10" t="inlineStr">
        <is>
          <t>Kindergarten 2025: 395 children enrolled at Lane Cove Public, Lane Cove West, Greenwich, St Michael's and Mowbray, down from 518 in 2018.</t>
        </is>
      </c>
      <c r="D10" s="11" t="n">
        <v>395</v>
      </c>
      <c r="E10" s="12">
        <f>'Kindergarten'!H24</f>
        <v>395</v>
      </c>
      <c r="F10" s="13" t="inlineStr">
        <is>
          <t>Kindergarten, cell H24</t>
        </is>
      </c>
      <c r="G10" s="10" t="inlineStr">
        <is>
          <t>Sum of the five schools' kindergarten, 2025 (column H)</t>
        </is>
      </c>
    </row>
    <row r="11" ht="42" customHeight="1">
      <c r="A11" s="10" t="n">
        <v>7</v>
      </c>
      <c r="B11" s="10" t="inlineStr">
        <is>
          <t>At a Glance</t>
        </is>
      </c>
      <c r="C11" s="10" t="inlineStr">
        <is>
          <t>Kindergarten 2025: 395 children enrolled at Lane Cove Public, Lane Cove West, Greenwich, St Michael's and Mowbray, down from 518 in 2018.</t>
        </is>
      </c>
      <c r="D11" s="10" t="inlineStr">
        <is>
          <t>518 (2018)</t>
        </is>
      </c>
      <c r="E11" s="12">
        <f>'Kindergarten'!H17</f>
        <v>518</v>
      </c>
      <c r="F11" s="13" t="inlineStr">
        <is>
          <t>Kindergarten, cell H17</t>
        </is>
      </c>
      <c r="G11" s="10" t="inlineStr">
        <is>
          <t>Sum of the five schools' kindergarten, 2018 (column H)</t>
        </is>
      </c>
    </row>
    <row r="12" ht="55" customHeight="1">
      <c r="A12" s="10" t="n">
        <v>8</v>
      </c>
      <c r="B12" s="10" t="inlineStr">
        <is>
          <t>At a Glance</t>
        </is>
      </c>
      <c r="C12" s="10" t="inlineStr">
        <is>
          <t>The smallest intake in 17 years of published figures.</t>
        </is>
      </c>
      <c r="D12" s="10" t="inlineStr">
        <is>
          <t>17 years</t>
        </is>
      </c>
      <c r="E12" s="12">
        <f>'Kindergarten'!H32</f>
        <v>17</v>
      </c>
      <c r="F12" s="13" t="inlineStr">
        <is>
          <t>Kindergarten, cell H32</t>
        </is>
      </c>
      <c r="G12" s="10" t="inlineStr">
        <is>
          <t>Five schools: Lane Cove Public, Lane Cove West, Greenwich, St Michael's and Mowbray: number of years in the published series, 2009 to 2025</t>
        </is>
      </c>
    </row>
    <row r="13" ht="42" customHeight="1">
      <c r="A13" s="10" t="n">
        <v>9</v>
      </c>
      <c r="B13" s="10" t="inlineStr">
        <is>
          <t>At a Glance</t>
        </is>
      </c>
      <c r="C13" s="10" t="inlineStr">
        <is>
          <t>The smallest intake in 17 years of published figures.</t>
        </is>
      </c>
      <c r="D13" s="10" t="inlineStr">
        <is>
          <t>the smallest intake</t>
        </is>
      </c>
      <c r="E13" s="14">
        <f>'Kindergarten'!H27</f>
        <v>2025</v>
      </c>
      <c r="F13" s="13" t="inlineStr">
        <is>
          <t>Kindergarten, cell H27</t>
        </is>
      </c>
      <c r="G13" s="10" t="inlineStr">
        <is>
          <t>Five schools: Lane Cove Public, Lane Cove West, Greenwich, St Michael's and Mowbray: year of the lowest kindergarten, 2009 to 2025</t>
        </is>
      </c>
    </row>
    <row r="14" ht="29" customHeight="1">
      <c r="A14" s="10" t="n">
        <v>10</v>
      </c>
      <c r="B14" s="10" t="inlineStr">
        <is>
          <t>At a Glance</t>
        </is>
      </c>
      <c r="C14" s="10" t="inlineStr">
        <is>
          <t>Record lows: kindergarten at Lane Cove Public (94) and Greenwich (41) was each school's smallest since at least 2009.</t>
        </is>
      </c>
      <c r="D14" s="11" t="n">
        <v>94</v>
      </c>
      <c r="E14" s="12">
        <f>'Kindergarten'!B24</f>
        <v>94</v>
      </c>
      <c r="F14" s="13" t="inlineStr">
        <is>
          <t>Kindergarten, cell B24</t>
        </is>
      </c>
      <c r="G14" s="10" t="inlineStr">
        <is>
          <t>Lane Cove Public, ACARA kindergarten, 2025</t>
        </is>
      </c>
    </row>
    <row r="15" ht="42" customHeight="1">
      <c r="A15" s="10" t="n">
        <v>11</v>
      </c>
      <c r="B15" s="10" t="inlineStr">
        <is>
          <t>At a Glance</t>
        </is>
      </c>
      <c r="C15" s="10" t="inlineStr">
        <is>
          <t>Record lows: kindergarten at Lane Cove Public (94) and Greenwich (41) was each school's smallest since at least 2009.</t>
        </is>
      </c>
      <c r="D15" s="10" t="inlineStr">
        <is>
          <t>smallest since at least 2009 (Lane Cove Public)</t>
        </is>
      </c>
      <c r="E15" s="14">
        <f>'Kindergarten'!B27</f>
        <v>2025</v>
      </c>
      <c r="F15" s="13" t="inlineStr">
        <is>
          <t>Kindergarten, cell B27</t>
        </is>
      </c>
      <c r="G15" s="10" t="inlineStr">
        <is>
          <t>Year of the lowest kindergarten, 2009 to 2025</t>
        </is>
      </c>
    </row>
    <row r="16" ht="29" customHeight="1">
      <c r="A16" s="10" t="n">
        <v>12</v>
      </c>
      <c r="B16" s="10" t="inlineStr">
        <is>
          <t>At a Glance</t>
        </is>
      </c>
      <c r="C16" s="10" t="inlineStr">
        <is>
          <t>Record lows: kindergarten at Lane Cove Public (94) and Greenwich (41) was each school's smallest since at least 2009.</t>
        </is>
      </c>
      <c r="D16" s="11" t="n">
        <v>41</v>
      </c>
      <c r="E16" s="12">
        <f>'Kindergarten'!D24</f>
        <v>41</v>
      </c>
      <c r="F16" s="13" t="inlineStr">
        <is>
          <t>Kindergarten, cell D24</t>
        </is>
      </c>
      <c r="G16" s="10" t="inlineStr">
        <is>
          <t>Greenwich Public, ACARA kindergarten, 2025</t>
        </is>
      </c>
    </row>
    <row r="17" ht="42" customHeight="1">
      <c r="A17" s="10" t="n">
        <v>13</v>
      </c>
      <c r="B17" s="10" t="inlineStr">
        <is>
          <t>At a Glance</t>
        </is>
      </c>
      <c r="C17" s="10" t="inlineStr">
        <is>
          <t>Record lows: kindergarten at Lane Cove Public (94) and Greenwich (41) was each school's smallest since at least 2009.</t>
        </is>
      </c>
      <c r="D17" s="10" t="inlineStr">
        <is>
          <t>smallest since at least 2009 (Greenwich)</t>
        </is>
      </c>
      <c r="E17" s="14">
        <f>'Kindergarten'!D27</f>
        <v>2025</v>
      </c>
      <c r="F17" s="13" t="inlineStr">
        <is>
          <t>Kindergarten, cell D27</t>
        </is>
      </c>
      <c r="G17" s="10" t="inlineStr">
        <is>
          <t>Year of the lowest kindergarten, 2009 to 2025</t>
        </is>
      </c>
    </row>
    <row r="18" ht="29" customHeight="1">
      <c r="A18" s="10" t="n">
        <v>14</v>
      </c>
      <c r="B18" s="10" t="inlineStr">
        <is>
          <t>At a Glance</t>
        </is>
      </c>
      <c r="C18" s="10" t="inlineStr">
        <is>
          <t>One exception: Mowbray, just over the boundary, where total enrolment is at a new high.</t>
        </is>
      </c>
      <c r="D18" s="10" t="inlineStr">
        <is>
          <t>a new high</t>
        </is>
      </c>
      <c r="E18" s="14">
        <f>'School totals'!F36</f>
        <v>2025</v>
      </c>
      <c r="F18" s="13" t="inlineStr">
        <is>
          <t>School totals, cell F36</t>
        </is>
      </c>
      <c r="G18" s="10" t="inlineStr">
        <is>
          <t>Mowbray Public: year of the highest total, 2009 to 2025</t>
        </is>
      </c>
    </row>
    <row r="19" ht="68" customHeight="1">
      <c r="A19" s="10" t="n">
        <v>15</v>
      </c>
      <c r="B19" s="10" t="inlineStr">
        <is>
          <t>At a Glance</t>
        </is>
      </c>
      <c r="C19" s="10" t="inlineStr">
        <is>
          <t>Not fewer babies, yet: the children who started kindergarten in 2023 to 2025 were born in years with more births than those who started in 2016 to 2020, but with more young children moving away than arriving, no more school-age children live here than before.</t>
        </is>
      </c>
      <c r="D19" s="10" t="inlineStr">
        <is>
          <t>bigger birth years (smallest of the last three: 533 births)</t>
        </is>
      </c>
      <c r="E19" s="12">
        <f>'Births and under-fives'!B14</f>
        <v>533</v>
      </c>
      <c r="F19" s="13" t="inlineStr">
        <is>
          <t>Births and under-fives, cell B14</t>
        </is>
      </c>
      <c r="G19" s="10" t="inlineStr">
        <is>
          <t>Births to Lane Cove residents: ABS births registered to Lane Cove residents, 2020</t>
        </is>
      </c>
    </row>
    <row r="20" ht="68" customHeight="1">
      <c r="A20" s="10" t="n">
        <v>16</v>
      </c>
      <c r="B20" s="10" t="inlineStr">
        <is>
          <t>At a Glance</t>
        </is>
      </c>
      <c r="C20" s="10" t="inlineStr">
        <is>
          <t>Not fewer babies, yet: the children who started kindergarten in 2023 to 2025 were born in years with more births than those who started in 2016 to 2020, but with more young children moving away than arriving, no more school-age children live here than before.</t>
        </is>
      </c>
      <c r="D20" s="10" t="inlineStr">
        <is>
          <t>classes of 2016 to 2020 (largest birth year behind them: 516)</t>
        </is>
      </c>
      <c r="E20" s="12">
        <f>'Births and under-fives'!B33</f>
        <v>516</v>
      </c>
      <c r="F20" s="13" t="inlineStr">
        <is>
          <t>Births and under-fives, cell B33</t>
        </is>
      </c>
      <c r="G20" s="10" t="inlineStr">
        <is>
          <t>Births to Lane Cove residents: highest of births 2011 to 2015</t>
        </is>
      </c>
    </row>
    <row r="21" ht="55" customHeight="1">
      <c r="A21" s="10" t="n">
        <v>17</v>
      </c>
      <c r="B21" s="10" t="inlineStr">
        <is>
          <t>At a Glance</t>
        </is>
      </c>
      <c r="C21" s="10" t="inlineStr">
        <is>
          <t>A smaller share start here: the five schools took 174 kindergarten children for every 1,000 five-to-nine-year-olds living here in 2023 to 2025, against 206 in 2016 to 2019.</t>
        </is>
      </c>
      <c r="D21" s="11" t="n">
        <v>174</v>
      </c>
      <c r="E21" s="15">
        <f>'Resident children ratio'!D17</f>
        <v>174.390759261868</v>
      </c>
      <c r="F21" s="13" t="inlineStr">
        <is>
          <t>Resident children ratio, cell D17</t>
        </is>
      </c>
      <c r="G21" s="10" t="inlineStr">
        <is>
          <t>Five schools: Lane Cove Public, Lane Cove West, Greenwich, St Michael's and Mowbray: five schools: average kindergarten per 1,000 average children aged 5 to 9, 2023 to 2025</t>
        </is>
      </c>
    </row>
    <row r="22" ht="55" customHeight="1">
      <c r="A22" s="10" t="n">
        <v>18</v>
      </c>
      <c r="B22" s="10" t="inlineStr">
        <is>
          <t>At a Glance</t>
        </is>
      </c>
      <c r="C22" s="10" t="inlineStr">
        <is>
          <t>A smaller share start here: the five schools took 174 kindergarten children for every 1,000 five-to-nine-year-olds living here in 2023 to 2025, against 206 in 2016 to 2019.</t>
        </is>
      </c>
      <c r="D22" s="11" t="n">
        <v>206</v>
      </c>
      <c r="E22" s="15">
        <f>'Resident children ratio'!D16</f>
        <v>205.686315350969</v>
      </c>
      <c r="F22" s="13" t="inlineStr">
        <is>
          <t>Resident children ratio, cell D16</t>
        </is>
      </c>
      <c r="G22" s="10" t="inlineStr">
        <is>
          <t>Five schools: Lane Cove Public, Lane Cove West, Greenwich, St Michael's and Mowbray: five schools: average kindergarten per 1,000 average children aged 5 to 9, 2016 to 2019</t>
        </is>
      </c>
    </row>
    <row r="23" ht="55" customHeight="1">
      <c r="A23" s="10" t="n">
        <v>19</v>
      </c>
      <c r="B23" s="10" t="inlineStr">
        <is>
          <t>At a Glance</t>
        </is>
      </c>
      <c r="C23" s="10" t="inlineStr">
        <is>
          <t>No sign of a rush to private schools nearby: across Lane Cove and five nearby councils, Catholic and independent kindergarten held steady from 2016 to 2025, while government kindergarten fell from 3,005 to 2,305.</t>
        </is>
      </c>
      <c r="D23" s="16" t="n">
        <v>3005</v>
      </c>
      <c r="E23" s="12">
        <f>'Sector kindergarten'!F6</f>
        <v>3005</v>
      </c>
      <c r="F23" s="13" t="inlineStr">
        <is>
          <t>Sector kindergarten, cell F6</t>
        </is>
      </c>
      <c r="G23" s="10" t="inlineStr">
        <is>
          <t>Lane Cove and five nearby councils, government kindergarten, 2016 (sum of the schools on the Schools in the six councils sheet)</t>
        </is>
      </c>
    </row>
    <row r="24" ht="55" customHeight="1">
      <c r="A24" s="10" t="n">
        <v>20</v>
      </c>
      <c r="B24" s="10" t="inlineStr">
        <is>
          <t>At a Glance</t>
        </is>
      </c>
      <c r="C24" s="10" t="inlineStr">
        <is>
          <t>No sign of a rush to private schools nearby: across Lane Cove and five nearby councils, Catholic and independent kindergarten held steady from 2016 to 2025, while government kindergarten fell from 3,005 to 2,305.</t>
        </is>
      </c>
      <c r="D24" s="16" t="n">
        <v>2305</v>
      </c>
      <c r="E24" s="12">
        <f>'Sector kindergarten'!F15</f>
        <v>2305</v>
      </c>
      <c r="F24" s="13" t="inlineStr">
        <is>
          <t>Sector kindergarten, cell F15</t>
        </is>
      </c>
      <c r="G24" s="10" t="inlineStr">
        <is>
          <t>Lane Cove and five nearby councils, government kindergarten, 2025 (sum of the schools on the Schools in the six councils sheet)</t>
        </is>
      </c>
    </row>
    <row r="25" ht="55" customHeight="1">
      <c r="A25" s="10" t="n">
        <v>21</v>
      </c>
      <c r="B25" s="10" t="inlineStr">
        <is>
          <t>At a Glance</t>
        </is>
      </c>
      <c r="C25" s="10" t="inlineStr">
        <is>
          <t>No sign of a rush to private schools nearby: across Lane Cove and five nearby councils, Catholic and independent kindergarten held steady from 2016 to 2025, while government kindergarten fell from 3,005 to 2,305.</t>
        </is>
      </c>
      <c r="D25" s="10" t="inlineStr">
        <is>
          <t>Catholic held steady (change, 2016 to 2025; within 5%)</t>
        </is>
      </c>
      <c r="E25" s="17">
        <f>'Sector kindergarten'!G21</f>
        <v>-0.0293742017879949</v>
      </c>
      <c r="F25" s="13" t="inlineStr">
        <is>
          <t>Sector kindergarten, cell G21</t>
        </is>
      </c>
      <c r="G25" s="10" t="inlineStr">
        <is>
          <t>Lane Cove and five nearby councils: 2025 divided by 2016, minus 1</t>
        </is>
      </c>
    </row>
    <row r="26" ht="55" customHeight="1">
      <c r="A26" s="10" t="n">
        <v>22</v>
      </c>
      <c r="B26" s="10" t="inlineStr">
        <is>
          <t>At a Glance</t>
        </is>
      </c>
      <c r="C26" s="10" t="inlineStr">
        <is>
          <t>No sign of a rush to private schools nearby: across Lane Cove and five nearby councils, Catholic and independent kindergarten held steady from 2016 to 2025, while government kindergarten fell from 3,005 to 2,305.</t>
        </is>
      </c>
      <c r="D26" s="10" t="inlineStr">
        <is>
          <t>independent held steady (change, 2016 to 2025; within 5%)</t>
        </is>
      </c>
      <c r="E26" s="17">
        <f>'Sector kindergarten'!H21</f>
        <v>-0.00268817204301075</v>
      </c>
      <c r="F26" s="13" t="inlineStr">
        <is>
          <t>Sector kindergarten, cell H21</t>
        </is>
      </c>
      <c r="G26" s="10" t="inlineStr">
        <is>
          <t>Lane Cove and five nearby councils: 2025 divided by 2016, minus 1</t>
        </is>
      </c>
    </row>
    <row r="27" ht="42" customHeight="1">
      <c r="A27" s="10" t="n">
        <v>23</v>
      </c>
      <c r="B27" s="10" t="inlineStr">
        <is>
          <t>At a Glance</t>
        </is>
      </c>
      <c r="C27" s="10" t="inlineStr">
        <is>
          <t>The births fall has not reached the classrooms yet: children under five living in Lane Cove fell from 2,653 in 2019 to 2,348 in 2025 (ABS estimates).</t>
        </is>
      </c>
      <c r="D27" s="16" t="n">
        <v>2653</v>
      </c>
      <c r="E27" s="12">
        <f>'Births and under-fives'!G13</f>
        <v>2653</v>
      </c>
      <c r="F27" s="13" t="inlineStr">
        <is>
          <t>Births and under-fives, cell G13</t>
        </is>
      </c>
      <c r="G27" s="10" t="inlineStr">
        <is>
          <t>ABS estimate, children aged 0 to 4 at 30 June 2019</t>
        </is>
      </c>
    </row>
    <row r="28" ht="42" customHeight="1">
      <c r="A28" s="10" t="n">
        <v>24</v>
      </c>
      <c r="B28" s="10" t="inlineStr">
        <is>
          <t>At a Glance</t>
        </is>
      </c>
      <c r="C28" s="10" t="inlineStr">
        <is>
          <t>The births fall has not reached the classrooms yet: children under five living in Lane Cove fell from 2,653 in 2019 to 2,348 in 2025 (ABS estimates).</t>
        </is>
      </c>
      <c r="D28" s="16" t="n">
        <v>2348</v>
      </c>
      <c r="E28" s="12">
        <f>'Births and under-fives'!G19</f>
        <v>2348</v>
      </c>
      <c r="F28" s="13" t="inlineStr">
        <is>
          <t>Births and under-fives, cell G19</t>
        </is>
      </c>
      <c r="G28" s="10" t="inlineStr">
        <is>
          <t>ABS estimate, children aged 0 to 4 at 30 June 2025</t>
        </is>
      </c>
    </row>
    <row r="29" ht="42" customHeight="1">
      <c r="A29" s="10" t="n">
        <v>25</v>
      </c>
      <c r="B29" s="10" t="inlineStr">
        <is>
          <t>At a Glance</t>
        </is>
      </c>
      <c r="C29" s="10" t="inlineStr">
        <is>
          <t>The births fall has not reached the classrooms yet: children under five living in Lane Cove fell from 2,653 in 2019 to 2,348 in 2025 (ABS estimates).</t>
        </is>
      </c>
      <c r="D29" s="10" t="inlineStr">
        <is>
          <t>2019 (the high)</t>
        </is>
      </c>
      <c r="E29" s="14">
        <f>'Births and under-fives'!G37</f>
        <v>2019</v>
      </c>
      <c r="F29" s="13" t="inlineStr">
        <is>
          <t>Births and under-fives, cell G37</t>
        </is>
      </c>
      <c r="G29" s="10" t="inlineStr">
        <is>
          <t>Year of that high</t>
        </is>
      </c>
    </row>
    <row r="30" ht="55" customHeight="1">
      <c r="A30" s="10" t="n">
        <v>26</v>
      </c>
      <c r="B30" s="10" t="inlineStr">
        <is>
          <t>At a Glance</t>
        </is>
      </c>
      <c r="C30" s="10" t="inlineStr">
        <is>
          <t>If today's rates hold, our projection has kindergarten at about 360 by 2029.</t>
        </is>
      </c>
      <c r="D30" s="10" t="inlineStr">
        <is>
          <t>about 360 (2029)</t>
        </is>
      </c>
      <c r="E30" s="15">
        <f>'Kindergarten projection'!H31</f>
        <v>359.5</v>
      </c>
      <c r="F30" s="13" t="inlineStr">
        <is>
          <t>Kindergarten projection, cell H31</t>
        </is>
      </c>
      <c r="G30" s="10" t="inlineStr">
        <is>
          <t>Five schools: Lane Cove Public, Lane Cove West, Greenwich, St Michael's and Mowbray: kindergarten at the five schools in 2029 if today's rates hold (average of methods A and B)</t>
        </is>
      </c>
    </row>
    <row r="31" ht="55" customHeight="1">
      <c r="A31" s="10" t="n">
        <v>27</v>
      </c>
      <c r="B31" s="10" t="inlineStr">
        <is>
          <t>From an earlier draft (now only in this workbook)</t>
        </is>
      </c>
      <c r="C31" s="10" t="inlineStr">
        <is>
          <t>If today's rates hold, kindergarten falls to about 360 by 2029 (somewhere between 310 and 410).</t>
        </is>
      </c>
      <c r="D31" s="10" t="inlineStr">
        <is>
          <t>310 (lower, 2029)</t>
        </is>
      </c>
      <c r="E31" s="12">
        <f>'Kindergarten projection'!I31</f>
        <v>312</v>
      </c>
      <c r="F31" s="13" t="inlineStr">
        <is>
          <t>Kindergarten projection, cell I31</t>
        </is>
      </c>
      <c r="G31" s="10" t="inlineStr">
        <is>
          <t>Five schools: Lane Cove Public, Lane Cove West, Greenwich, St Michael's and Mowbray: lower case for 2029: starters per 1,000 keep falling at their 2016-25 pace</t>
        </is>
      </c>
    </row>
    <row r="32" ht="55" customHeight="1">
      <c r="A32" s="10" t="n">
        <v>28</v>
      </c>
      <c r="B32" s="10" t="inlineStr">
        <is>
          <t>From an earlier draft (now only in this workbook)</t>
        </is>
      </c>
      <c r="C32" s="10" t="inlineStr">
        <is>
          <t>If today's rates hold, kindergarten falls to about 360 by 2029 (somewhere between 310 and 410).</t>
        </is>
      </c>
      <c r="D32" s="10" t="inlineStr">
        <is>
          <t>410 (upper, 2029)</t>
        </is>
      </c>
      <c r="E32" s="12">
        <f>'Kindergarten projection'!J31</f>
        <v>410</v>
      </c>
      <c r="F32" s="13" t="inlineStr">
        <is>
          <t>Kindergarten projection, cell J31</t>
        </is>
      </c>
      <c r="G32" s="10" t="inlineStr">
        <is>
          <t>Five schools: Lane Cove Public, Lane Cove West, Greenwich, St Michael's and Mowbray: upper case for 2029: starters per 1,000 recover at that pace</t>
        </is>
      </c>
    </row>
    <row r="33" ht="29" customHeight="1">
      <c r="A33" s="10" t="n">
        <v>29</v>
      </c>
      <c r="B33" s="10" t="inlineStr">
        <is>
          <t>At a Glance</t>
        </is>
      </c>
      <c r="C33" s="10" t="inlineStr">
        <is>
          <t>The NSW Government's 2024 projection assumed 2,855.</t>
        </is>
      </c>
      <c r="D33" s="16" t="n">
        <v>2855</v>
      </c>
      <c r="E33" s="12">
        <f>'Births and under-fives'!H19</f>
        <v>2855</v>
      </c>
      <c r="F33" s="13" t="inlineStr">
        <is>
          <t>Births and under-fives, cell H19</t>
        </is>
      </c>
      <c r="G33" s="10" t="inlineStr">
        <is>
          <t>Lane Cove council area: NSW 2024 projection, children aged 0 to 4 in 2025</t>
        </is>
      </c>
    </row>
    <row r="34" ht="55" customHeight="1">
      <c r="A34" s="10" t="n">
        <v>30</v>
      </c>
      <c r="B34" s="10" t="inlineStr">
        <is>
          <t>Body</t>
        </is>
      </c>
      <c r="C34" s="10" t="inlineStr">
        <is>
          <t>The five schools took 395 children into kindergarten in 2025, the smallest intake in 17 years of published figures and 123 fewer than in 2018.</t>
        </is>
      </c>
      <c r="D34" s="11" t="n">
        <v>395</v>
      </c>
      <c r="E34" s="12">
        <f>'Kindergarten'!H24</f>
        <v>395</v>
      </c>
      <c r="F34" s="13" t="inlineStr">
        <is>
          <t>Kindergarten, cell H24</t>
        </is>
      </c>
      <c r="G34" s="10" t="inlineStr">
        <is>
          <t>Five schools: Lane Cove Public, Lane Cove West, Greenwich, St Michael's and Mowbray: sum of the five schools' kindergarten, 2025 (column H)</t>
        </is>
      </c>
    </row>
    <row r="35" ht="55" customHeight="1">
      <c r="A35" s="10" t="n">
        <v>31</v>
      </c>
      <c r="B35" s="10" t="inlineStr">
        <is>
          <t>Body</t>
        </is>
      </c>
      <c r="C35" s="10" t="inlineStr">
        <is>
          <t>The five schools took 395 children into kindergarten in 2025, the smallest intake in 17 years of published figures and 123 fewer than in 2018.</t>
        </is>
      </c>
      <c r="D35" s="10" t="inlineStr">
        <is>
          <t>17 years</t>
        </is>
      </c>
      <c r="E35" s="12">
        <f>'Kindergarten'!H32</f>
        <v>17</v>
      </c>
      <c r="F35" s="13" t="inlineStr">
        <is>
          <t>Kindergarten, cell H32</t>
        </is>
      </c>
      <c r="G35" s="10" t="inlineStr">
        <is>
          <t>Five schools: Lane Cove Public, Lane Cove West, Greenwich, St Michael's and Mowbray: number of years in the published series, 2009 to 2025</t>
        </is>
      </c>
    </row>
    <row r="36" ht="42" customHeight="1">
      <c r="A36" s="10" t="n">
        <v>32</v>
      </c>
      <c r="B36" s="10" t="inlineStr">
        <is>
          <t>Body</t>
        </is>
      </c>
      <c r="C36" s="10" t="inlineStr">
        <is>
          <t>The five schools took 395 children into kindergarten in 2025, the smallest intake in 17 years of published figures and 123 fewer than in 2018.</t>
        </is>
      </c>
      <c r="D36" s="10" t="inlineStr">
        <is>
          <t>the smallest intake</t>
        </is>
      </c>
      <c r="E36" s="14">
        <f>'Kindergarten'!H27</f>
        <v>2025</v>
      </c>
      <c r="F36" s="13" t="inlineStr">
        <is>
          <t>Kindergarten, cell H27</t>
        </is>
      </c>
      <c r="G36" s="10" t="inlineStr">
        <is>
          <t>Five schools: Lane Cove Public, Lane Cove West, Greenwich, St Michael's and Mowbray: year of the lowest kindergarten, 2009 to 2025</t>
        </is>
      </c>
    </row>
    <row r="37" ht="42" customHeight="1">
      <c r="A37" s="10" t="n">
        <v>33</v>
      </c>
      <c r="B37" s="10" t="inlineStr">
        <is>
          <t>Body</t>
        </is>
      </c>
      <c r="C37" s="10" t="inlineStr">
        <is>
          <t>The five schools took 395 children into kindergarten in 2025, the smallest intake in 17 years of published figures and 123 fewer than in 2018.</t>
        </is>
      </c>
      <c r="D37" s="10" t="inlineStr">
        <is>
          <t>123 fewer</t>
        </is>
      </c>
      <c r="E37" s="12">
        <f>'Kindergarten'!H34</f>
        <v>123</v>
      </c>
      <c r="F37" s="13" t="inlineStr">
        <is>
          <t>Kindergarten, cell H34</t>
        </is>
      </c>
      <c r="G37" s="10" t="inlineStr">
        <is>
          <t>Five schools: Lane Cove Public, Lane Cove West, Greenwich, St Michael's and Mowbray: five schools: 2018 minus 2025</t>
        </is>
      </c>
    </row>
    <row r="38" ht="55" customHeight="1">
      <c r="A38" s="10" t="n">
        <v>34</v>
      </c>
      <c r="B38" s="10" t="inlineStr">
        <is>
          <t>Body</t>
        </is>
      </c>
      <c r="C38" s="10" t="inlineStr">
        <is>
          <t>Kindergarten has fallen in six of the last seven years.</t>
        </is>
      </c>
      <c r="D38" s="10" t="inlineStr">
        <is>
          <t>six of the last seven</t>
        </is>
      </c>
      <c r="E38" s="12">
        <f>'Kindergarten'!H33</f>
        <v>6</v>
      </c>
      <c r="F38" s="13" t="inlineStr">
        <is>
          <t>Kindergarten, cell H33</t>
        </is>
      </c>
      <c r="G38" s="10" t="inlineStr">
        <is>
          <t>Five schools: Lane Cove Public, Lane Cove West, Greenwich, St Michael's and Mowbray: years 2019 to 2025 in which the five-school total fell (column I)</t>
        </is>
      </c>
    </row>
    <row r="39" ht="94" customHeight="1">
      <c r="A39" s="10" t="n">
        <v>35</v>
      </c>
      <c r="B39" s="10" t="inlineStr">
        <is>
          <t>Body</t>
        </is>
      </c>
      <c r="C39" s="10" t="inlineStr">
        <is>
          <t>More young children move out of the Lane Cove LGA than move in, which cancelled out the bigger birth years.</t>
        </is>
      </c>
      <c r="D39" s="10" t="inlineStr">
        <is>
          <t>did not turn into more school-age children (change in the yearly average of five-to-nine-year-olds)</t>
        </is>
      </c>
      <c r="E39" s="17">
        <f>'Resident children ratio'!C18</f>
        <v>-0.0142331458723877</v>
      </c>
      <c r="F39" s="13" t="inlineStr">
        <is>
          <t>Resident children ratio, cell C18</t>
        </is>
      </c>
      <c r="G39" s="10" t="inlineStr">
        <is>
          <t>Lane Cove council area: lane Cove children aged 5 to 9, 2023-25 average against 2016-19 average</t>
        </is>
      </c>
    </row>
    <row r="40" ht="55" customHeight="1">
      <c r="A40" s="10" t="n">
        <v>36</v>
      </c>
      <c r="B40" s="10" t="inlineStr">
        <is>
          <t>Body</t>
        </is>
      </c>
      <c r="C40" s="10" t="inlineStr">
        <is>
          <t>And a smaller share of the children who live here start at these five schools, about 15% smaller than in 2016 to 2019.</t>
        </is>
      </c>
      <c r="D40" s="10" t="inlineStr">
        <is>
          <t>about one in seven fewer (change per 1,000, 2016-19 to 2023-25)</t>
        </is>
      </c>
      <c r="E40" s="17">
        <f>'Resident children ratio'!D18</f>
        <v>-0.152151863072175</v>
      </c>
      <c r="F40" s="13" t="inlineStr">
        <is>
          <t>Resident children ratio, cell D18</t>
        </is>
      </c>
      <c r="G40" s="10" t="inlineStr">
        <is>
          <t>Five schools: Lane Cove Public, Lane Cove West, Greenwich, St Michael's and Mowbray: five schools: ratio 2023-25 against 2016-19</t>
        </is>
      </c>
    </row>
    <row r="41" ht="68" customHeight="1">
      <c r="A41" s="10" t="n">
        <v>37</v>
      </c>
      <c r="B41" s="10" t="inlineStr">
        <is>
          <t>Body</t>
        </is>
      </c>
      <c r="C41" s="10" t="inlineStr">
        <is>
          <t>And a smaller share of the children who live here start at these five schools, about 15% smaller than in 2016 to 2019.</t>
        </is>
      </c>
      <c r="D41" s="10" t="inlineStr">
        <is>
          <t>fewer for every child who lives here (per 1,000, 2016-19 to 2023-25)</t>
        </is>
      </c>
      <c r="E41" s="17">
        <f>'Resident children ratio'!D18</f>
        <v>-0.152151863072175</v>
      </c>
      <c r="F41" s="13" t="inlineStr">
        <is>
          <t>Resident children ratio, cell D18</t>
        </is>
      </c>
      <c r="G41" s="10" t="inlineStr">
        <is>
          <t>Five schools: Lane Cove Public, Lane Cove West, Greenwich, St Michael's and Mowbray: five schools: ratio 2023-25 against 2016-19</t>
        </is>
      </c>
    </row>
    <row r="42" ht="29" customHeight="1">
      <c r="A42" s="10" t="n">
        <v>38</v>
      </c>
      <c r="B42" s="10" t="inlineStr">
        <is>
          <t>From an earlier draft (now only in this workbook)</t>
        </is>
      </c>
      <c r="C42" s="10" t="inlineStr">
        <is>
          <t>Lane Cove Public dropped below 700 for the first time in the series.</t>
        </is>
      </c>
      <c r="D42" s="10" t="inlineStr">
        <is>
          <t>below 700 for the first time</t>
        </is>
      </c>
      <c r="E42" s="12">
        <f>'School totals'!B30</f>
        <v>731</v>
      </c>
      <c r="F42" s="13" t="inlineStr">
        <is>
          <t>School totals, cell B30</t>
        </is>
      </c>
      <c r="G42" s="10" t="inlineStr">
        <is>
          <t>Lowest total in 2009 to 2024, before 2025</t>
        </is>
      </c>
    </row>
    <row r="43" ht="29" customHeight="1">
      <c r="A43" s="10" t="n">
        <v>39</v>
      </c>
      <c r="B43" s="10" t="inlineStr">
        <is>
          <t>From an earlier draft (now only in this workbook)</t>
        </is>
      </c>
      <c r="C43" s="10" t="inlineStr">
        <is>
          <t>Lane Cove Public dropped below 700 for the first time in the series.</t>
        </is>
      </c>
      <c r="D43" s="10" t="inlineStr">
        <is>
          <t>below 700 (688 in 2025)</t>
        </is>
      </c>
      <c r="E43" s="12">
        <f>'School totals'!B24</f>
        <v>688</v>
      </c>
      <c r="F43" s="13" t="inlineStr">
        <is>
          <t>School totals, cell B24</t>
        </is>
      </c>
      <c r="G43" s="10" t="inlineStr">
        <is>
          <t>Lane Cove Public, ACARA total enrolments, 2025</t>
        </is>
      </c>
    </row>
    <row r="44" ht="42" customHeight="1">
      <c r="A44" s="10" t="n">
        <v>40</v>
      </c>
      <c r="B44" s="10" t="inlineStr">
        <is>
          <t>From an earlier draft (now only in this workbook)</t>
        </is>
      </c>
      <c r="C44" s="10" t="inlineStr">
        <is>
          <t>Lane Cove West is at its lowest since 2010, and St Michael's at its lowest in the series.</t>
        </is>
      </c>
      <c r="D44" s="10" t="inlineStr">
        <is>
          <t>lowest since 2010</t>
        </is>
      </c>
      <c r="E44" s="18">
        <f>'School totals'!C31</f>
        <v>2010</v>
      </c>
      <c r="F44" s="13" t="inlineStr">
        <is>
          <t>School totals, cell C31</t>
        </is>
      </c>
      <c r="G44" s="10" t="inlineStr">
        <is>
          <t>Latest year before 2025 with a total below 2025's ('none' means 2025 is the lowest of 2009 to 2025)</t>
        </is>
      </c>
    </row>
    <row r="45" ht="42" customHeight="1">
      <c r="A45" s="10" t="n">
        <v>41</v>
      </c>
      <c r="B45" s="10" t="inlineStr">
        <is>
          <t>From an earlier draft (now only in this workbook)</t>
        </is>
      </c>
      <c r="C45" s="10" t="inlineStr">
        <is>
          <t>Lane Cove West is at its lowest since 2010, and St Michael's at its lowest in the series.</t>
        </is>
      </c>
      <c r="D45" s="10" t="inlineStr">
        <is>
          <t>lowest in the series</t>
        </is>
      </c>
      <c r="E45" s="18">
        <f>'School totals'!E31</f>
        <v>0</v>
      </c>
      <c r="F45" s="13" t="inlineStr">
        <is>
          <t>School totals, cell E31</t>
        </is>
      </c>
      <c r="G45" s="10" t="inlineStr">
        <is>
          <t>Latest year before 2025 with a total below 2025's ('none' means 2025 is the lowest of 2009 to 2025)</t>
        </is>
      </c>
    </row>
    <row r="46" ht="29" customHeight="1">
      <c r="A46" s="10" t="n">
        <v>42</v>
      </c>
      <c r="B46" s="10" t="inlineStr">
        <is>
          <t>Body</t>
        </is>
      </c>
      <c r="C46" s="10" t="inlineStr">
        <is>
          <t>The exception is Mowbray Public School, which has grown every year from 2016.</t>
        </is>
      </c>
      <c r="D46" s="10" t="inlineStr">
        <is>
          <t>every year from 2016</t>
        </is>
      </c>
      <c r="E46" s="12">
        <f>'School totals'!F32</f>
        <v>10</v>
      </c>
      <c r="F46" s="13" t="inlineStr">
        <is>
          <t>School totals, cell F32</t>
        </is>
      </c>
      <c r="G46" s="10" t="inlineStr">
        <is>
          <t>Count of years 2016 to 2025 with a total above the year before</t>
        </is>
      </c>
    </row>
    <row r="47" ht="29" customHeight="1">
      <c r="A47" s="10" t="n">
        <v>43</v>
      </c>
      <c r="B47" s="10" t="inlineStr">
        <is>
          <t>Body</t>
        </is>
      </c>
      <c r="C47" s="10" t="inlineStr">
        <is>
          <t>In December 2021 the Department of Education's catchment map moved part of Chatswood Public's catchment into Mowbray's.</t>
        </is>
      </c>
      <c r="D47" s="10" t="inlineStr">
        <is>
          <t>December 2021</t>
        </is>
      </c>
      <c r="E47" s="19" t="str">
        <f>'Zone changes'!A5</f>
        <v>19 December 2021</v>
      </c>
      <c r="F47" s="13" t="inlineStr">
        <is>
          <t>Zone changes, cell A5</t>
        </is>
      </c>
      <c r="G47" s="10" t="inlineStr">
        <is>
          <t>Mowbray Public: date the December 2021 change carries in the map</t>
        </is>
      </c>
    </row>
    <row r="48" ht="55" customHeight="1">
      <c r="A48" s="10" t="n">
        <v>44</v>
      </c>
      <c r="B48" s="10" t="inlineStr">
        <is>
          <t>Body</t>
        </is>
      </c>
      <c r="C48" s="10" t="inlineStr">
        <is>
          <t>Taken together, the four schools inside the Lane Cove LGA (Lane Cove Public, Lane Cove West, Greenwich and St Michael's) had 2,494 students in 2018 and 2,031 in 2025, close to one in five fewer.</t>
        </is>
      </c>
      <c r="D48" s="16" t="n">
        <v>2494</v>
      </c>
      <c r="E48" s="12">
        <f>'School totals'!H17</f>
        <v>2494</v>
      </c>
      <c r="F48" s="13" t="inlineStr">
        <is>
          <t>School totals, cell H17</t>
        </is>
      </c>
      <c r="G48" s="10" t="inlineStr">
        <is>
          <t>Sum of the four schools in Lane Cove council area, 2018 (column H)</t>
        </is>
      </c>
    </row>
    <row r="49" ht="55" customHeight="1">
      <c r="A49" s="10" t="n">
        <v>45</v>
      </c>
      <c r="B49" s="10" t="inlineStr">
        <is>
          <t>Body</t>
        </is>
      </c>
      <c r="C49" s="10" t="inlineStr">
        <is>
          <t>Taken together, the four schools inside the Lane Cove LGA (Lane Cove Public, Lane Cove West, Greenwich and St Michael's) had 2,494 students in 2018 and 2,031 in 2025, close to one in five fewer.</t>
        </is>
      </c>
      <c r="D49" s="16" t="n">
        <v>2031</v>
      </c>
      <c r="E49" s="12">
        <f>'School totals'!H24</f>
        <v>2031</v>
      </c>
      <c r="F49" s="13" t="inlineStr">
        <is>
          <t>School totals, cell H24</t>
        </is>
      </c>
      <c r="G49" s="10" t="inlineStr">
        <is>
          <t>Sum of the four schools in Lane Cove council area, 2025 (column H)</t>
        </is>
      </c>
    </row>
    <row r="50" ht="55" customHeight="1">
      <c r="A50" s="10" t="n">
        <v>46</v>
      </c>
      <c r="B50" s="10" t="inlineStr">
        <is>
          <t>Body</t>
        </is>
      </c>
      <c r="C50" s="10" t="inlineStr">
        <is>
          <t>Taken together, the four schools inside the Lane Cove LGA (Lane Cove Public, Lane Cove West, Greenwich and St Michael's) had 2,494 students in 2018 and 2,031 in 2025, close to one in five fewer.</t>
        </is>
      </c>
      <c r="D50" s="10" t="inlineStr">
        <is>
          <t>close to one in five fewer</t>
        </is>
      </c>
      <c r="E50" s="17">
        <f>'School totals'!H34</f>
        <v>-0.185645549318364</v>
      </c>
      <c r="F50" s="13" t="inlineStr">
        <is>
          <t>School totals, cell H34</t>
        </is>
      </c>
      <c r="G50" s="10" t="inlineStr">
        <is>
          <t>Four schools: 2025 total divided by 2018 total, minus 1</t>
        </is>
      </c>
    </row>
    <row r="51" ht="55" customHeight="1">
      <c r="A51" s="10" t="n">
        <v>47</v>
      </c>
      <c r="B51" s="10" t="inlineStr">
        <is>
          <t>Body</t>
        </is>
      </c>
      <c r="C51" s="10" t="inlineStr">
        <is>
          <t>Our investigation found that every primary school inside the Lane Cove LGA had fewer students in 2025 than in 2018: close to one in five fewer in total.</t>
        </is>
      </c>
      <c r="D51" s="10" t="inlineStr">
        <is>
          <t>every primary school inside the Lane Cove LGA had fewer students</t>
        </is>
      </c>
      <c r="E51" s="19" t="str">
        <f>'School totals'!B45</f>
        <v>Yes</v>
      </c>
      <c r="F51" s="13" t="inlineStr">
        <is>
          <t>School totals, cell B45</t>
        </is>
      </c>
      <c r="G51" s="10" t="inlineStr">
        <is>
          <t>Lane Cove council area: yes if every one of the five fell</t>
        </is>
      </c>
    </row>
    <row r="52" ht="42" customHeight="1">
      <c r="A52" s="10" t="n">
        <v>48</v>
      </c>
      <c r="B52" s="10" t="inlineStr">
        <is>
          <t>Body</t>
        </is>
      </c>
      <c r="C52" s="10" t="inlineStr">
        <is>
          <t>Our investigation found that every primary school inside the Lane Cove LGA had fewer students in 2025 than in 2018: close to one in five fewer in total.</t>
        </is>
      </c>
      <c r="D52" s="10" t="inlineStr">
        <is>
          <t>close to one in five fewer in total</t>
        </is>
      </c>
      <c r="E52" s="17">
        <f>'School totals'!D44</f>
        <v>-0.185013518733102</v>
      </c>
      <c r="F52" s="13" t="inlineStr">
        <is>
          <t>School totals, cell D44</t>
        </is>
      </c>
      <c r="G52" s="10" t="inlineStr">
        <is>
          <t>Lane Cove council area: all five: 2025 total divided by 2018 total, minus 1</t>
        </is>
      </c>
    </row>
    <row r="53" ht="42" customHeight="1">
      <c r="A53" s="10" t="n">
        <v>49</v>
      </c>
      <c r="B53" s="10" t="inlineStr">
        <is>
          <t>Body</t>
        </is>
      </c>
      <c r="C53" s="10" t="inlineStr">
        <is>
          <t>More babies were registered to Lane Cove residents in 2018 to 2020, the birth years behind the last three kindergarten intakes, than in 2011 to 2015: about 565 a year, against about 470.</t>
        </is>
      </c>
      <c r="D53" s="10" t="inlineStr">
        <is>
          <t>about 565 a year (2018 to 2020)</t>
        </is>
      </c>
      <c r="E53" s="15">
        <f>'Births and under-fives'!E32</f>
        <v>565</v>
      </c>
      <c r="F53" s="13" t="inlineStr">
        <is>
          <t>Births and under-fives, cell E32</t>
        </is>
      </c>
      <c r="G53" s="10" t="inlineStr">
        <is>
          <t>Births to Lane Cove residents: average of births 2018 to 2020</t>
        </is>
      </c>
    </row>
    <row r="54" ht="42" customHeight="1">
      <c r="A54" s="10" t="n">
        <v>50</v>
      </c>
      <c r="B54" s="10" t="inlineStr">
        <is>
          <t>Body</t>
        </is>
      </c>
      <c r="C54" s="10" t="inlineStr">
        <is>
          <t>More babies were registered to Lane Cove residents in 2018 to 2020, the birth years behind the last three kindergarten intakes, than in 2011 to 2015: about 565 a year, against about 470.</t>
        </is>
      </c>
      <c r="D54" s="10" t="inlineStr">
        <is>
          <t>about 470 (2011 to 2015)</t>
        </is>
      </c>
      <c r="E54" s="15">
        <f>'Births and under-fives'!E33</f>
        <v>469.4</v>
      </c>
      <c r="F54" s="13" t="inlineStr">
        <is>
          <t>Births and under-fives, cell E33</t>
        </is>
      </c>
      <c r="G54" s="10" t="inlineStr">
        <is>
          <t>Births to Lane Cove residents: average of births 2011 to 2015</t>
        </is>
      </c>
    </row>
    <row r="55" ht="42" customHeight="1">
      <c r="A55" s="10" t="n">
        <v>51</v>
      </c>
      <c r="B55" s="10" t="inlineStr">
        <is>
          <t>Body</t>
        </is>
      </c>
      <c r="C55" s="10" t="inlineStr">
        <is>
          <t>And a smaller share of the children who live here start at these five schools, about 15% smaller than in 2016 to 2019.</t>
        </is>
      </c>
      <c r="D55" s="10" t="inlineStr">
        <is>
          <t>about 15% smaller</t>
        </is>
      </c>
      <c r="E55" s="17">
        <f>'Resident children ratio'!D18</f>
        <v>-0.152151863072175</v>
      </c>
      <c r="F55" s="13" t="inlineStr">
        <is>
          <t>Resident children ratio, cell D18</t>
        </is>
      </c>
      <c r="G55" s="10" t="inlineStr">
        <is>
          <t>Five schools: Lane Cove Public, Lane Cove West, Greenwich, St Michael's and Mowbray: five schools: ratio 2023-25 against 2016-19</t>
        </is>
      </c>
    </row>
    <row r="56" ht="29" customHeight="1">
      <c r="A56" s="10" t="n">
        <v>52</v>
      </c>
      <c r="B56" s="10" t="inlineStr">
        <is>
          <t>Body</t>
        </is>
      </c>
      <c r="C56" s="10" t="inlineStr">
        <is>
          <t>Five of the six schools in the chart are smaller than in 2018.</t>
        </is>
      </c>
      <c r="D56" s="10" t="inlineStr">
        <is>
          <t>Five of the six</t>
        </is>
      </c>
      <c r="E56" s="12">
        <f>'School totals'!B40</f>
        <v>5</v>
      </c>
      <c r="F56" s="13" t="inlineStr">
        <is>
          <t>School totals, cell B40</t>
        </is>
      </c>
      <c r="G56" s="10" t="inlineStr">
        <is>
          <t>Count of the six 2018-to-2025 changes below zero</t>
        </is>
      </c>
    </row>
    <row r="57" ht="29" customHeight="1">
      <c r="A57" s="10" t="n">
        <v>53</v>
      </c>
      <c r="B57" s="10" t="inlineStr">
        <is>
          <t>From an earlier draft (now only in this workbook)</t>
        </is>
      </c>
      <c r="C57" s="10" t="inlineStr">
        <is>
          <t>Greenwich had 61 fewer students in 2025 than in 2024, the steepest fall of the six that year, and is now 26% below its peak.</t>
        </is>
      </c>
      <c r="D57" s="11" t="n">
        <v>61</v>
      </c>
      <c r="E57" s="20">
        <f>'School totals'!D29</f>
        <v>-61</v>
      </c>
      <c r="F57" s="13" t="inlineStr">
        <is>
          <t>School totals, cell D29</t>
        </is>
      </c>
      <c r="G57" s="10" t="inlineStr">
        <is>
          <t>Greenwich Public: 2025 total minus 2024 total</t>
        </is>
      </c>
    </row>
    <row r="58" ht="42" customHeight="1">
      <c r="A58" s="10" t="n">
        <v>54</v>
      </c>
      <c r="B58" s="10" t="inlineStr">
        <is>
          <t>From an earlier draft (now only in this workbook)</t>
        </is>
      </c>
      <c r="C58" s="10" t="inlineStr">
        <is>
          <t>Greenwich had 61 fewer students in 2025 than in 2024, the steepest fall of the six that year, and is now 26% below its peak.</t>
        </is>
      </c>
      <c r="D58" s="10" t="inlineStr">
        <is>
          <t>the steepest fall of the six that year</t>
        </is>
      </c>
      <c r="E58" s="20">
        <f>'School totals'!B39</f>
        <v>-61</v>
      </c>
      <c r="F58" s="13" t="inlineStr">
        <is>
          <t>School totals, cell B39</t>
        </is>
      </c>
      <c r="G58" s="10" t="inlineStr">
        <is>
          <t>Greenwich Public: lowest of the six 2024-to-2025 changes</t>
        </is>
      </c>
    </row>
    <row r="59" ht="55" customHeight="1">
      <c r="A59" s="10" t="n">
        <v>55</v>
      </c>
      <c r="B59" s="10" t="inlineStr">
        <is>
          <t>From an earlier draft (now only in this workbook)</t>
        </is>
      </c>
      <c r="C59" s="10" t="inlineStr">
        <is>
          <t>Greenwich had 61 fewer students in 2025 than in 2024, the steepest fall of the six that year, and is now 26% below its peak.</t>
        </is>
      </c>
      <c r="D59" s="10" t="inlineStr">
        <is>
          <t>the steepest fall of the six that year (which school)</t>
        </is>
      </c>
      <c r="E59" s="19" t="str">
        <f>'School totals'!C39</f>
        <v>Greenwich Public</v>
      </c>
      <c r="F59" s="13" t="inlineStr">
        <is>
          <t>School totals, cell C39</t>
        </is>
      </c>
      <c r="G59" s="10" t="inlineStr">
        <is>
          <t>Greenwich Public: the school with that change (INDEX/MATCH on the school names)</t>
        </is>
      </c>
    </row>
    <row r="60" ht="29" customHeight="1">
      <c r="A60" s="10" t="n">
        <v>56</v>
      </c>
      <c r="B60" s="10" t="inlineStr">
        <is>
          <t>From an earlier draft (now only in this workbook)</t>
        </is>
      </c>
      <c r="C60" s="10" t="inlineStr">
        <is>
          <t>Greenwich had 61 fewer students in 2025 than in 2024, the steepest fall of the six that year, and is now 26% below its peak.</t>
        </is>
      </c>
      <c r="D60" s="10" t="inlineStr">
        <is>
          <t>26% below</t>
        </is>
      </c>
      <c r="E60" s="17">
        <f>'School totals'!D28</f>
        <v>-0.26008064516129</v>
      </c>
      <c r="F60" s="13" t="inlineStr">
        <is>
          <t>School totals, cell D28</t>
        </is>
      </c>
      <c r="G60" s="10" t="inlineStr">
        <is>
          <t>Greenwich Public: 2025 total divided by the 2014-2025 high, minus 1</t>
        </is>
      </c>
    </row>
    <row r="61" ht="42" customHeight="1">
      <c r="A61" s="10" t="n">
        <v>57</v>
      </c>
      <c r="B61" s="10" t="inlineStr">
        <is>
          <t>From an earlier draft (now only in this workbook)</t>
        </is>
      </c>
      <c r="C61" s="10" t="inlineStr">
        <is>
          <t>Two schools recorded their smallest kindergarten in the series in 2025: Lane Cove Public with 94 and Greenwich with 41.</t>
        </is>
      </c>
      <c r="D61" s="10" t="inlineStr">
        <is>
          <t>smallest in 2025 (Lane Cove Public)</t>
        </is>
      </c>
      <c r="E61" s="14">
        <f>'Kindergarten'!B27</f>
        <v>2025</v>
      </c>
      <c r="F61" s="13" t="inlineStr">
        <is>
          <t>Kindergarten, cell B27</t>
        </is>
      </c>
      <c r="G61" s="10" t="inlineStr">
        <is>
          <t>Year of the lowest kindergarten, 2009 to 2025</t>
        </is>
      </c>
    </row>
    <row r="62" ht="29" customHeight="1">
      <c r="A62" s="10" t="n">
        <v>58</v>
      </c>
      <c r="B62" s="10" t="inlineStr">
        <is>
          <t>From an earlier draft (now only in this workbook)</t>
        </is>
      </c>
      <c r="C62" s="10" t="inlineStr">
        <is>
          <t>Two schools recorded their smallest kindergarten in the series in 2025: Lane Cove Public with 94 and Greenwich with 41.</t>
        </is>
      </c>
      <c r="D62" s="11" t="n">
        <v>94</v>
      </c>
      <c r="E62" s="12">
        <f>'Kindergarten'!B24</f>
        <v>94</v>
      </c>
      <c r="F62" s="13" t="inlineStr">
        <is>
          <t>Kindergarten, cell B24</t>
        </is>
      </c>
      <c r="G62" s="10" t="inlineStr">
        <is>
          <t>Lane Cove Public, ACARA kindergarten, 2025</t>
        </is>
      </c>
    </row>
    <row r="63" ht="29" customHeight="1">
      <c r="A63" s="10" t="n">
        <v>59</v>
      </c>
      <c r="B63" s="10" t="inlineStr">
        <is>
          <t>From an earlier draft (now only in this workbook)</t>
        </is>
      </c>
      <c r="C63" s="10" t="inlineStr">
        <is>
          <t>Two schools recorded their smallest kindergarten in the series in 2025: Lane Cove Public with 94 and Greenwich with 41.</t>
        </is>
      </c>
      <c r="D63" s="10" t="inlineStr">
        <is>
          <t>smallest in 2025 (Greenwich)</t>
        </is>
      </c>
      <c r="E63" s="14">
        <f>'Kindergarten'!D27</f>
        <v>2025</v>
      </c>
      <c r="F63" s="13" t="inlineStr">
        <is>
          <t>Kindergarten, cell D27</t>
        </is>
      </c>
      <c r="G63" s="10" t="inlineStr">
        <is>
          <t>Year of the lowest kindergarten, 2009 to 2025</t>
        </is>
      </c>
    </row>
    <row r="64" ht="29" customHeight="1">
      <c r="A64" s="10" t="n">
        <v>60</v>
      </c>
      <c r="B64" s="10" t="inlineStr">
        <is>
          <t>From an earlier draft (now only in this workbook)</t>
        </is>
      </c>
      <c r="C64" s="10" t="inlineStr">
        <is>
          <t>Two schools recorded their smallest kindergarten in the series in 2025: Lane Cove Public with 94 and Greenwich with 41.</t>
        </is>
      </c>
      <c r="D64" s="11" t="n">
        <v>41</v>
      </c>
      <c r="E64" s="12">
        <f>'Kindergarten'!D24</f>
        <v>41</v>
      </c>
      <c r="F64" s="13" t="inlineStr">
        <is>
          <t>Kindergarten, cell D24</t>
        </is>
      </c>
      <c r="G64" s="10" t="inlineStr">
        <is>
          <t>Greenwich Public, ACARA kindergarten, 2025</t>
        </is>
      </c>
    </row>
    <row r="65" ht="29" customHeight="1">
      <c r="A65" s="10" t="n">
        <v>61</v>
      </c>
      <c r="B65" s="10" t="inlineStr">
        <is>
          <t>From an earlier draft (now only in this workbook)</t>
        </is>
      </c>
      <c r="C65" s="10" t="inlineStr">
        <is>
          <t>Three of the six took more kindergarten children than the year before: Lane Cove West, St Michael's and Chatswood.</t>
        </is>
      </c>
      <c r="D65" s="10" t="inlineStr">
        <is>
          <t>Three of the six</t>
        </is>
      </c>
      <c r="E65" s="12">
        <f>'Kindergarten'!B45</f>
        <v>3</v>
      </c>
      <c r="F65" s="13" t="inlineStr">
        <is>
          <t>Kindergarten, cell B45</t>
        </is>
      </c>
      <c r="G65" s="10" t="inlineStr">
        <is>
          <t>Count of 'Yes' across the six schools (row above the five-school rows)</t>
        </is>
      </c>
    </row>
    <row r="66" ht="55" customHeight="1">
      <c r="A66" s="10" t="n">
        <v>62</v>
      </c>
      <c r="B66" s="10" t="inlineStr">
        <is>
          <t>From an earlier draft (now only in this workbook)</t>
        </is>
      </c>
      <c r="C66" s="10" t="inlineStr">
        <is>
          <t>Three of the six took more kindergarten children than the year before: Lane Cove West, St Michael's and Chatswood.</t>
        </is>
      </c>
      <c r="D66" s="10" t="inlineStr">
        <is>
          <t>more than the year before (Lane Cove West Public)</t>
        </is>
      </c>
      <c r="E66" s="20">
        <f>'Kindergarten'!C30</f>
        <v>13</v>
      </c>
      <c r="F66" s="13" t="inlineStr">
        <is>
          <t>Kindergarten, cell C30</t>
        </is>
      </c>
      <c r="G66" s="10" t="inlineStr">
        <is>
          <t>2025 kindergarten minus 2024</t>
        </is>
      </c>
    </row>
    <row r="67" ht="55" customHeight="1">
      <c r="A67" s="10" t="n">
        <v>63</v>
      </c>
      <c r="B67" s="10" t="inlineStr">
        <is>
          <t>From an earlier draft (now only in this workbook)</t>
        </is>
      </c>
      <c r="C67" s="10" t="inlineStr">
        <is>
          <t>Three of the six took more kindergarten children than the year before: Lane Cove West, St Michael's and Chatswood.</t>
        </is>
      </c>
      <c r="D67" s="10" t="inlineStr">
        <is>
          <t>more than the year before (St Michael's Catholic Primary)</t>
        </is>
      </c>
      <c r="E67" s="20">
        <f>'Kindergarten'!E30</f>
        <v>5</v>
      </c>
      <c r="F67" s="13" t="inlineStr">
        <is>
          <t>Kindergarten, cell E30</t>
        </is>
      </c>
      <c r="G67" s="10" t="inlineStr">
        <is>
          <t>2025 kindergarten minus 2024</t>
        </is>
      </c>
    </row>
    <row r="68" ht="42" customHeight="1">
      <c r="A68" s="10" t="n">
        <v>64</v>
      </c>
      <c r="B68" s="10" t="inlineStr">
        <is>
          <t>From an earlier draft (now only in this workbook)</t>
        </is>
      </c>
      <c r="C68" s="10" t="inlineStr">
        <is>
          <t>Three of the six took more kindergarten children than the year before: Lane Cove West, St Michael's and Chatswood.</t>
        </is>
      </c>
      <c r="D68" s="10" t="inlineStr">
        <is>
          <t>more than the year before (Chatswood Public)</t>
        </is>
      </c>
      <c r="E68" s="20">
        <f>'Kindergarten'!G30</f>
        <v>17</v>
      </c>
      <c r="F68" s="13" t="inlineStr">
        <is>
          <t>Kindergarten, cell G30</t>
        </is>
      </c>
      <c r="G68" s="10" t="inlineStr">
        <is>
          <t>2025 kindergarten minus 2024</t>
        </is>
      </c>
    </row>
    <row r="69" ht="29" customHeight="1">
      <c r="A69" s="10" t="n">
        <v>65</v>
      </c>
      <c r="B69" s="10" t="inlineStr">
        <is>
          <t>Body</t>
        </is>
      </c>
      <c r="C69" s="10" t="inlineStr">
        <is>
          <t>Across the four schools inside the Lane Cove LGA, kindergarten was 400 in 2018 and 286 in 2025, 29% lower.</t>
        </is>
      </c>
      <c r="D69" s="10" t="inlineStr">
        <is>
          <t>400 (2018)</t>
        </is>
      </c>
      <c r="E69" s="12">
        <f>'Kindergarten'!J17</f>
        <v>400</v>
      </c>
      <c r="F69" s="13" t="inlineStr">
        <is>
          <t>Kindergarten, cell J17</t>
        </is>
      </c>
      <c r="G69" s="10" t="inlineStr">
        <is>
          <t>Sum of the four council-area schools' kindergarten, 2018 (column J)</t>
        </is>
      </c>
    </row>
    <row r="70" ht="29" customHeight="1">
      <c r="A70" s="10" t="n">
        <v>66</v>
      </c>
      <c r="B70" s="10" t="inlineStr">
        <is>
          <t>Body</t>
        </is>
      </c>
      <c r="C70" s="10" t="inlineStr">
        <is>
          <t>Across the four schools inside the Lane Cove LGA, kindergarten was 400 in 2018 and 286 in 2025, 29% lower.</t>
        </is>
      </c>
      <c r="D70" s="10" t="inlineStr">
        <is>
          <t>286 (2025)</t>
        </is>
      </c>
      <c r="E70" s="12">
        <f>'Kindergarten'!J24</f>
        <v>286</v>
      </c>
      <c r="F70" s="13" t="inlineStr">
        <is>
          <t>Kindergarten, cell J24</t>
        </is>
      </c>
      <c r="G70" s="10" t="inlineStr">
        <is>
          <t>Sum of the four council-area schools' kindergarten, 2025 (column J)</t>
        </is>
      </c>
    </row>
    <row r="71" ht="29" customHeight="1">
      <c r="A71" s="10" t="n">
        <v>67</v>
      </c>
      <c r="B71" s="10" t="inlineStr">
        <is>
          <t>Body</t>
        </is>
      </c>
      <c r="C71" s="10" t="inlineStr">
        <is>
          <t>Across the four schools inside the Lane Cove LGA, kindergarten was 400 in 2018 and 286 in 2025, 29% lower.</t>
        </is>
      </c>
      <c r="D71" s="10" t="inlineStr">
        <is>
          <t>29% lower</t>
        </is>
      </c>
      <c r="E71" s="17">
        <f>'Kindergarten'!J35</f>
        <v>-0.285</v>
      </c>
      <c r="F71" s="13" t="inlineStr">
        <is>
          <t>Kindergarten, cell J35</t>
        </is>
      </c>
      <c r="G71" s="10" t="inlineStr">
        <is>
          <t>Four schools: 2025 divided by 2018, minus 1</t>
        </is>
      </c>
    </row>
    <row r="72" ht="42" customHeight="1">
      <c r="A72" s="10" t="n">
        <v>68</v>
      </c>
      <c r="B72" s="10" t="inlineStr">
        <is>
          <t>Body</t>
        </is>
      </c>
      <c r="C72" s="10" t="inlineStr">
        <is>
          <t>It was 308 in 2023 and 307 in 2024.</t>
        </is>
      </c>
      <c r="D72" s="10" t="inlineStr">
        <is>
          <t>308 (2023)</t>
        </is>
      </c>
      <c r="E72" s="12">
        <f>'Kindergarten'!J22</f>
        <v>308</v>
      </c>
      <c r="F72" s="13" t="inlineStr">
        <is>
          <t>Kindergarten, cell J22</t>
        </is>
      </c>
      <c r="G72" s="10" t="inlineStr">
        <is>
          <t>Four schools in the article's chart inside the council area: sum of the four council-area schools' kindergarten, 2023 (column J)</t>
        </is>
      </c>
    </row>
    <row r="73" ht="42" customHeight="1">
      <c r="A73" s="10" t="n">
        <v>69</v>
      </c>
      <c r="B73" s="10" t="inlineStr">
        <is>
          <t>Body</t>
        </is>
      </c>
      <c r="C73" s="10" t="inlineStr">
        <is>
          <t>It was 308 in 2023 and 307 in 2024.</t>
        </is>
      </c>
      <c r="D73" s="10" t="inlineStr">
        <is>
          <t>307 (2024)</t>
        </is>
      </c>
      <c r="E73" s="12">
        <f>'Kindergarten'!J23</f>
        <v>307</v>
      </c>
      <c r="F73" s="13" t="inlineStr">
        <is>
          <t>Kindergarten, cell J23</t>
        </is>
      </c>
      <c r="G73" s="10" t="inlineStr">
        <is>
          <t>Four schools in the article's chart inside the council area: sum of the four council-area schools' kindergarten, 2024 (column J)</t>
        </is>
      </c>
    </row>
    <row r="74" ht="42" customHeight="1">
      <c r="A74" s="10" t="n">
        <v>70</v>
      </c>
      <c r="B74" s="10" t="inlineStr">
        <is>
          <t>Body</t>
        </is>
      </c>
      <c r="C74" s="10" t="inlineStr">
        <is>
          <t>By its own count, Lane Cove Public began 2026 with 672 students in 27 classes, down from 697 students in 28 classes at the same point in 2025.</t>
        </is>
      </c>
      <c r="D74" s="11" t="n">
        <v>672</v>
      </c>
      <c r="E74" s="12">
        <f>'School figures 2026'!D6</f>
        <v>672</v>
      </c>
      <c r="F74" s="13" t="inlineStr">
        <is>
          <t>School figures 2026, cell D6</t>
        </is>
      </c>
      <c r="G74" s="10" t="inlineStr">
        <is>
          <t>Lane Cove Public, start of 2026: students enrolled (school newsletter)</t>
        </is>
      </c>
    </row>
    <row r="75" ht="42" customHeight="1">
      <c r="A75" s="10" t="n">
        <v>71</v>
      </c>
      <c r="B75" s="10" t="inlineStr">
        <is>
          <t>Body</t>
        </is>
      </c>
      <c r="C75" s="10" t="inlineStr">
        <is>
          <t>By its own count, Lane Cove Public began 2026 with 672 students in 27 classes, down from 697 students in 28 classes at the same point in 2025.</t>
        </is>
      </c>
      <c r="D75" s="10" t="inlineStr">
        <is>
          <t>27 classes</t>
        </is>
      </c>
      <c r="E75" s="12">
        <f>'School figures 2026'!D7</f>
        <v>27</v>
      </c>
      <c r="F75" s="13" t="inlineStr">
        <is>
          <t>School figures 2026, cell D7</t>
        </is>
      </c>
      <c r="G75" s="10" t="inlineStr">
        <is>
          <t>Lane Cove Public, start of 2026: classes, Kindergarten to Year 6 (school newsletter)</t>
        </is>
      </c>
    </row>
    <row r="76" ht="42" customHeight="1">
      <c r="A76" s="10" t="n">
        <v>72</v>
      </c>
      <c r="B76" s="10" t="inlineStr">
        <is>
          <t>Body</t>
        </is>
      </c>
      <c r="C76" s="10" t="inlineStr">
        <is>
          <t>By its own count, Lane Cove Public began 2026 with 672 students in 27 classes, down from 697 students in 28 classes at the same point in 2025.</t>
        </is>
      </c>
      <c r="D76" s="11" t="n">
        <v>697</v>
      </c>
      <c r="E76" s="12">
        <f>'School figures 2026'!D8</f>
        <v>697</v>
      </c>
      <c r="F76" s="13" t="inlineStr">
        <is>
          <t>School figures 2026, cell D8</t>
        </is>
      </c>
      <c r="G76" s="10" t="inlineStr">
        <is>
          <t>Lane Cove Public, start of 2025: students enrolled (school newsletter)</t>
        </is>
      </c>
    </row>
    <row r="77" ht="42" customHeight="1">
      <c r="A77" s="10" t="n">
        <v>73</v>
      </c>
      <c r="B77" s="10" t="inlineStr">
        <is>
          <t>Body</t>
        </is>
      </c>
      <c r="C77" s="10" t="inlineStr">
        <is>
          <t>By its own count, Lane Cove Public began 2026 with 672 students in 27 classes, down from 697 students in 28 classes at the same point in 2025.</t>
        </is>
      </c>
      <c r="D77" s="10" t="inlineStr">
        <is>
          <t>28 classes</t>
        </is>
      </c>
      <c r="E77" s="12">
        <f>'School figures 2026'!D9</f>
        <v>28</v>
      </c>
      <c r="F77" s="13" t="inlineStr">
        <is>
          <t>School figures 2026, cell D9</t>
        </is>
      </c>
      <c r="G77" s="10" t="inlineStr">
        <is>
          <t>Lane Cove Public, start of 2025: classes (school newsletter)</t>
        </is>
      </c>
    </row>
    <row r="78" ht="42" customHeight="1">
      <c r="A78" s="10" t="n">
        <v>74</v>
      </c>
      <c r="B78" s="10" t="inlineStr">
        <is>
          <t>Body</t>
        </is>
      </c>
      <c r="C78" s="10" t="inlineStr">
        <is>
          <t>"We have commenced 2026 with 328 students enrolled, including 40 Kindergarten students," Greenwich's principal wrote to families on 6 February</t>
        </is>
      </c>
      <c r="D78" s="11" t="n">
        <v>328</v>
      </c>
      <c r="E78" s="12">
        <f>'School figures 2026'!D10</f>
        <v>328</v>
      </c>
      <c r="F78" s="13" t="inlineStr">
        <is>
          <t>School figures 2026, cell D10</t>
        </is>
      </c>
      <c r="G78" s="10" t="inlineStr">
        <is>
          <t>Greenwich Public, start of 2026: students enrolled (school newsletter)</t>
        </is>
      </c>
    </row>
    <row r="79" ht="42" customHeight="1">
      <c r="A79" s="10" t="n">
        <v>75</v>
      </c>
      <c r="B79" s="10" t="inlineStr">
        <is>
          <t>Body</t>
        </is>
      </c>
      <c r="C79" s="10" t="inlineStr">
        <is>
          <t>"We have commenced 2026 with 328 students enrolled, including 40 Kindergarten students," Greenwich's principal wrote to families on 6 February</t>
        </is>
      </c>
      <c r="D79" s="10" t="inlineStr">
        <is>
          <t>40 Kindergarten students</t>
        </is>
      </c>
      <c r="E79" s="12">
        <f>'School figures 2026'!D11</f>
        <v>40</v>
      </c>
      <c r="F79" s="13" t="inlineStr">
        <is>
          <t>School figures 2026, cell D11</t>
        </is>
      </c>
      <c r="G79" s="10" t="inlineStr">
        <is>
          <t>Greenwich Public, start of 2026: kindergarten students (school newsletter)</t>
        </is>
      </c>
    </row>
    <row r="80" ht="42" customHeight="1">
      <c r="A80" s="10" t="n">
        <v>76</v>
      </c>
      <c r="B80" s="10" t="inlineStr">
        <is>
          <t>Body</t>
        </is>
      </c>
      <c r="C80" s="10" t="inlineStr">
        <is>
          <t>All 13 public primaries outside the Lane Cove LGA that we tracked in April (Mowbray was not among them) are below their peak.</t>
        </is>
      </c>
      <c r="D80" s="10" t="inlineStr">
        <is>
          <t>the 15</t>
        </is>
      </c>
      <c r="E80" s="12">
        <f>'Nearby public primaries'!B24</f>
        <v>15</v>
      </c>
      <c r="F80" s="13" t="inlineStr">
        <is>
          <t>Nearby public primaries, cell B24</t>
        </is>
      </c>
      <c r="G80" s="10" t="inlineStr">
        <is>
          <t>Schools tracked in April</t>
        </is>
      </c>
    </row>
    <row r="81" ht="42" customHeight="1">
      <c r="A81" s="10" t="n">
        <v>77</v>
      </c>
      <c r="B81" s="10" t="inlineStr">
        <is>
          <t>Body</t>
        </is>
      </c>
      <c r="C81" s="10" t="inlineStr">
        <is>
          <t>All 13 public primaries outside the Lane Cove LGA that we tracked in April (Mowbray was not among them) are below their peak.</t>
        </is>
      </c>
      <c r="D81" s="10" t="inlineStr">
        <is>
          <t>the 13 outside the council area</t>
        </is>
      </c>
      <c r="E81" s="12">
        <f>'Nearby public primaries'!B25</f>
        <v>13</v>
      </c>
      <c r="F81" s="13" t="inlineStr">
        <is>
          <t>Nearby public primaries, cell B25</t>
        </is>
      </c>
      <c r="G81" s="10" t="inlineStr">
        <is>
          <t>Of those, outside Lane Cove council area</t>
        </is>
      </c>
    </row>
    <row r="82" ht="42" customHeight="1">
      <c r="A82" s="10" t="n">
        <v>78</v>
      </c>
      <c r="B82" s="10" t="inlineStr">
        <is>
          <t>Body</t>
        </is>
      </c>
      <c r="C82" s="10" t="inlineStr">
        <is>
          <t>All 13 public primaries outside the Lane Cove LGA that we tracked in April (Mowbray was not among them) are below their peak.</t>
        </is>
      </c>
      <c r="D82" s="10" t="inlineStr">
        <is>
          <t>all below their peak</t>
        </is>
      </c>
      <c r="E82" s="12">
        <f>'Nearby public primaries'!B26</f>
        <v>13</v>
      </c>
      <c r="F82" s="13" t="inlineStr">
        <is>
          <t>Nearby public primaries, cell B26</t>
        </is>
      </c>
      <c r="G82" s="10" t="inlineStr">
        <is>
          <t>Outside the council area and below their 2014 to 2025 high in 2025</t>
        </is>
      </c>
    </row>
    <row r="83" ht="42" customHeight="1">
      <c r="A83" s="10" t="n">
        <v>79</v>
      </c>
      <c r="B83" s="10" t="inlineStr">
        <is>
          <t>Body</t>
        </is>
      </c>
      <c r="C83" s="10" t="inlineStr">
        <is>
          <t>Between them they had 441 fewer students in 2025 than in 2024.</t>
        </is>
      </c>
      <c r="D83" s="10" t="inlineStr">
        <is>
          <t>441 fewer</t>
        </is>
      </c>
      <c r="E83" s="20">
        <f>'Nearby public primaries'!R21</f>
        <v>-441</v>
      </c>
      <c r="F83" s="13" t="inlineStr">
        <is>
          <t>Nearby public primaries, cell R21</t>
        </is>
      </c>
      <c r="G83" s="10" t="inlineStr">
        <is>
          <t>The 13 nearby public primaries outside Lane Cove council area: 13 schools outside the council area: 2025 total minus 2024</t>
        </is>
      </c>
    </row>
    <row r="84" ht="29" customHeight="1">
      <c r="A84" s="10" t="n">
        <v>80</v>
      </c>
      <c r="B84" s="10" t="inlineStr">
        <is>
          <t>Body</t>
        </is>
      </c>
      <c r="C84" s="10" t="inlineStr">
        <is>
          <t>Statewide, NSW government primary enrolments peaked in 2019 at 495,738 and were 459,957 in 2025, according to the ABS.</t>
        </is>
      </c>
      <c r="D84" s="10" t="inlineStr">
        <is>
          <t>2019 (peak year)</t>
        </is>
      </c>
      <c r="E84" s="14">
        <f>'NSW primary enrolments'!B27</f>
        <v>2019</v>
      </c>
      <c r="F84" s="13" t="inlineStr">
        <is>
          <t>NSW primary enrolments, cell B27</t>
        </is>
      </c>
      <c r="G84" s="10" t="inlineStr">
        <is>
          <t>Year of that high</t>
        </is>
      </c>
    </row>
    <row r="85" ht="29" customHeight="1">
      <c r="A85" s="10" t="n">
        <v>81</v>
      </c>
      <c r="B85" s="10" t="inlineStr">
        <is>
          <t>Body</t>
        </is>
      </c>
      <c r="C85" s="10" t="inlineStr">
        <is>
          <t>Statewide, NSW government primary enrolments peaked in 2019 at 495,738 and were 459,957 in 2025, according to the ABS.</t>
        </is>
      </c>
      <c r="D85" s="16" t="n">
        <v>495738</v>
      </c>
      <c r="E85" s="12">
        <f>'NSW primary enrolments'!B26</f>
        <v>495738</v>
      </c>
      <c r="F85" s="13" t="inlineStr">
        <is>
          <t>NSW primary enrolments, cell B26</t>
        </is>
      </c>
      <c r="G85" s="10" t="inlineStr">
        <is>
          <t>Highest NSW government primary enrolment, 2006 to 2025</t>
        </is>
      </c>
    </row>
    <row r="86" ht="29" customHeight="1">
      <c r="A86" s="10" t="n">
        <v>82</v>
      </c>
      <c r="B86" s="10" t="inlineStr">
        <is>
          <t>Body</t>
        </is>
      </c>
      <c r="C86" s="10" t="inlineStr">
        <is>
          <t>Statewide, NSW government primary enrolments peaked in 2019 at 495,738 and were 459,957 in 2025, according to the ABS.</t>
        </is>
      </c>
      <c r="D86" s="16" t="n">
        <v>459957</v>
      </c>
      <c r="E86" s="12">
        <f>'NSW primary enrolments'!B24</f>
        <v>459957</v>
      </c>
      <c r="F86" s="13" t="inlineStr">
        <is>
          <t>NSW primary enrolments, cell B24</t>
        </is>
      </c>
      <c r="G86" s="10" t="inlineStr">
        <is>
          <t>NSW government primary students, 2025</t>
        </is>
      </c>
    </row>
    <row r="87" ht="42" customHeight="1">
      <c r="A87" s="10" t="n">
        <v>83</v>
      </c>
      <c r="B87" s="10" t="inlineStr">
        <is>
          <t>Body</t>
        </is>
      </c>
      <c r="C87" s="10" t="inlineStr">
        <is>
          <t>Across the six council areas ITC examined (Lane Cove, Willoughby, Hunters Hill, North Sydney, Mosman and Ryde), kindergarten intake fell between 2018 and 2025 in every one.</t>
        </is>
      </c>
      <c r="D87" s="10" t="inlineStr">
        <is>
          <t>in every one (six)</t>
        </is>
      </c>
      <c r="E87" s="12">
        <f>'Six councils'!B12</f>
        <v>6</v>
      </c>
      <c r="F87" s="13" t="inlineStr">
        <is>
          <t>Six councils, cell B12</t>
        </is>
      </c>
      <c r="G87" s="10" t="inlineStr">
        <is>
          <t>Count of 'Yes' in column E</t>
        </is>
      </c>
    </row>
    <row r="88" ht="29" customHeight="1">
      <c r="A88" s="10" t="n">
        <v>84</v>
      </c>
      <c r="B88" s="10" t="inlineStr">
        <is>
          <t>Body</t>
        </is>
      </c>
      <c r="C88" s="10" t="inlineStr">
        <is>
          <t>They were born around 2018, 2019 and 2020, when 598, 564 and 533 births were registered to Lane Cove residents.</t>
        </is>
      </c>
      <c r="D88" s="11" t="n">
        <v>598</v>
      </c>
      <c r="E88" s="12">
        <f>'Births and under-fives'!B12</f>
        <v>598</v>
      </c>
      <c r="F88" s="13" t="inlineStr">
        <is>
          <t>Births and under-fives, cell B12</t>
        </is>
      </c>
      <c r="G88" s="10" t="inlineStr">
        <is>
          <t>ABS births registered to Lane Cove residents, 2018</t>
        </is>
      </c>
    </row>
    <row r="89" ht="29" customHeight="1">
      <c r="A89" s="10" t="n">
        <v>85</v>
      </c>
      <c r="B89" s="10" t="inlineStr">
        <is>
          <t>Body</t>
        </is>
      </c>
      <c r="C89" s="10" t="inlineStr">
        <is>
          <t>They were born around 2018, 2019 and 2020, when 598, 564 and 533 births were registered to Lane Cove residents.</t>
        </is>
      </c>
      <c r="D89" s="11" t="n">
        <v>564</v>
      </c>
      <c r="E89" s="12">
        <f>'Births and under-fives'!B13</f>
        <v>564</v>
      </c>
      <c r="F89" s="13" t="inlineStr">
        <is>
          <t>Births and under-fives, cell B13</t>
        </is>
      </c>
      <c r="G89" s="10" t="inlineStr">
        <is>
          <t>ABS births registered to Lane Cove residents, 2019</t>
        </is>
      </c>
    </row>
    <row r="90" ht="29" customHeight="1">
      <c r="A90" s="10" t="n">
        <v>86</v>
      </c>
      <c r="B90" s="10" t="inlineStr">
        <is>
          <t>Body</t>
        </is>
      </c>
      <c r="C90" s="10" t="inlineStr">
        <is>
          <t>They were born around 2018, 2019 and 2020, when 598, 564 and 533 births were registered to Lane Cove residents.</t>
        </is>
      </c>
      <c r="D90" s="11" t="n">
        <v>533</v>
      </c>
      <c r="E90" s="12">
        <f>'Births and under-fives'!B14</f>
        <v>533</v>
      </c>
      <c r="F90" s="13" t="inlineStr">
        <is>
          <t>Births and under-fives, cell B14</t>
        </is>
      </c>
      <c r="G90" s="10" t="inlineStr">
        <is>
          <t>ABS births registered to Lane Cove residents, 2020</t>
        </is>
      </c>
    </row>
    <row r="91" ht="29" customHeight="1">
      <c r="A91" s="10" t="n">
        <v>87</v>
      </c>
      <c r="B91" s="10" t="inlineStr">
        <is>
          <t>Body</t>
        </is>
      </c>
      <c r="C91" s="10" t="inlineStr">
        <is>
          <t>The children who started kindergarten in 2016 to 2020 came from years with fewer births, between 433 and 516.</t>
        </is>
      </c>
      <c r="D91" s="11" t="n">
        <v>433</v>
      </c>
      <c r="E91" s="12">
        <f>'Births and under-fives'!B32</f>
        <v>433</v>
      </c>
      <c r="F91" s="13" t="inlineStr">
        <is>
          <t>Births and under-fives, cell B32</t>
        </is>
      </c>
      <c r="G91" s="10" t="inlineStr">
        <is>
          <t>Births to Lane Cove residents: lowest of births 2011 to 2015</t>
        </is>
      </c>
    </row>
    <row r="92" ht="29" customHeight="1">
      <c r="A92" s="10" t="n">
        <v>88</v>
      </c>
      <c r="B92" s="10" t="inlineStr">
        <is>
          <t>Body</t>
        </is>
      </c>
      <c r="C92" s="10" t="inlineStr">
        <is>
          <t>The children who started kindergarten in 2016 to 2020 came from years with fewer births, between 433 and 516.</t>
        </is>
      </c>
      <c r="D92" s="11" t="n">
        <v>516</v>
      </c>
      <c r="E92" s="12">
        <f>'Births and under-fives'!B33</f>
        <v>516</v>
      </c>
      <c r="F92" s="13" t="inlineStr">
        <is>
          <t>Births and under-fives, cell B33</t>
        </is>
      </c>
      <c r="G92" s="10" t="inlineStr">
        <is>
          <t>Births to Lane Cove residents: highest of births 2011 to 2015</t>
        </is>
      </c>
    </row>
    <row r="93" ht="55" customHeight="1">
      <c r="A93" s="10" t="n">
        <v>89</v>
      </c>
      <c r="B93" s="10" t="inlineStr">
        <is>
          <t>Body</t>
        </is>
      </c>
      <c r="C93" s="10" t="inlineStr">
        <is>
          <t>In the Lane Cove LGA, St Michael's (Catholic) and Currambena (the only independent school in the LGA with a kindergarten) each took a few fewer kindergarten children in 2025 than in 2016.</t>
        </is>
      </c>
      <c r="D93" s="10" t="inlineStr">
        <is>
          <t>the only independent school here with a kindergarten</t>
        </is>
      </c>
      <c r="E93" s="12">
        <f>'Council-area kindergarten'!B28</f>
        <v>1</v>
      </c>
      <c r="F93" s="13" t="inlineStr">
        <is>
          <t>Council-area kindergarten, cell B28</t>
        </is>
      </c>
      <c r="G93" s="10" t="inlineStr">
        <is>
          <t>Count of independent schools in the council area with kindergarten enrolments</t>
        </is>
      </c>
    </row>
    <row r="94" ht="55" customHeight="1">
      <c r="A94" s="10" t="n">
        <v>90</v>
      </c>
      <c r="B94" s="10" t="inlineStr">
        <is>
          <t>Body</t>
        </is>
      </c>
      <c r="C94" s="10" t="inlineStr">
        <is>
          <t>In the Lane Cove LGA, St Michael's (Catholic) and Currambena (the only independent school in the LGA with a kindergarten) each took a few fewer kindergarten children in 2025 than in 2016.</t>
        </is>
      </c>
      <c r="D94" s="10" t="inlineStr">
        <is>
          <t>a few fewer (St Michael's, 2016 to 2025)</t>
        </is>
      </c>
      <c r="E94" s="20">
        <f>'Kindergarten'!E38</f>
        <v>-4</v>
      </c>
      <c r="F94" s="13" t="inlineStr">
        <is>
          <t>Kindergarten, cell E38</t>
        </is>
      </c>
      <c r="G94" s="10" t="inlineStr">
        <is>
          <t>2025 kindergarten minus 2016</t>
        </is>
      </c>
    </row>
    <row r="95" ht="55" customHeight="1">
      <c r="A95" s="10" t="n">
        <v>91</v>
      </c>
      <c r="B95" s="10" t="inlineStr">
        <is>
          <t>Body</t>
        </is>
      </c>
      <c r="C95" s="10" t="inlineStr">
        <is>
          <t>In the Lane Cove LGA, St Michael's (Catholic) and Currambena (the only independent school in the LGA with a kindergarten) each took a few fewer kindergarten children in 2025 than in 2016.</t>
        </is>
      </c>
      <c r="D95" s="10" t="inlineStr">
        <is>
          <t>a few fewer (Currambena, 2016 to 2025)</t>
        </is>
      </c>
      <c r="E95" s="20">
        <f>'Council-area kindergarten'!F29</f>
        <v>-3</v>
      </c>
      <c r="F95" s="13" t="inlineStr">
        <is>
          <t>Council-area kindergarten, cell F29</t>
        </is>
      </c>
      <c r="G95" s="10" t="inlineStr">
        <is>
          <t>Currambena Primary School: 2025 kindergarten minus 2016</t>
        </is>
      </c>
    </row>
    <row r="96" ht="42" customHeight="1">
      <c r="A96" s="10" t="n">
        <v>92</v>
      </c>
      <c r="B96" s="10" t="inlineStr">
        <is>
          <t>Body</t>
        </is>
      </c>
      <c r="C96" s="10" t="inlineStr">
        <is>
          <t>Across all six councils over the same years, Catholic and independent kindergarten held steady, while government kindergarten fell from 3,005 to 2,305.</t>
        </is>
      </c>
      <c r="D96" s="16" t="n">
        <v>3005</v>
      </c>
      <c r="E96" s="12">
        <f>'Sector kindergarten'!F6</f>
        <v>3005</v>
      </c>
      <c r="F96" s="13" t="inlineStr">
        <is>
          <t>Sector kindergarten, cell F6</t>
        </is>
      </c>
      <c r="G96" s="10" t="inlineStr">
        <is>
          <t>Lane Cove and five nearby councils, government kindergarten, 2016 (sum of the schools on the Schools in the six councils sheet)</t>
        </is>
      </c>
    </row>
    <row r="97" ht="42" customHeight="1">
      <c r="A97" s="10" t="n">
        <v>93</v>
      </c>
      <c r="B97" s="10" t="inlineStr">
        <is>
          <t>Body</t>
        </is>
      </c>
      <c r="C97" s="10" t="inlineStr">
        <is>
          <t>Across all six councils over the same years, Catholic and independent kindergarten held steady, while government kindergarten fell from 3,005 to 2,305.</t>
        </is>
      </c>
      <c r="D97" s="16" t="n">
        <v>2305</v>
      </c>
      <c r="E97" s="12">
        <f>'Sector kindergarten'!F15</f>
        <v>2305</v>
      </c>
      <c r="F97" s="13" t="inlineStr">
        <is>
          <t>Sector kindergarten, cell F15</t>
        </is>
      </c>
      <c r="G97" s="10" t="inlineStr">
        <is>
          <t>Lane Cove and five nearby councils, government kindergarten, 2025 (sum of the schools on the Schools in the six councils sheet)</t>
        </is>
      </c>
    </row>
    <row r="98" ht="55" customHeight="1">
      <c r="A98" s="10" t="n">
        <v>94</v>
      </c>
      <c r="B98" s="10" t="inlineStr">
        <is>
          <t>Body</t>
        </is>
      </c>
      <c r="C98" s="10" t="inlineStr">
        <is>
          <t>Across all six councils over the same years, Catholic and independent kindergarten held steady, while government kindergarten fell from 3,005 to 2,305.</t>
        </is>
      </c>
      <c r="D98" s="10" t="inlineStr">
        <is>
          <t>Catholic held steady (change, 2016 to 2025; within 5%)</t>
        </is>
      </c>
      <c r="E98" s="17">
        <f>'Sector kindergarten'!G21</f>
        <v>-0.0293742017879949</v>
      </c>
      <c r="F98" s="13" t="inlineStr">
        <is>
          <t>Sector kindergarten, cell G21</t>
        </is>
      </c>
      <c r="G98" s="10" t="inlineStr">
        <is>
          <t>Lane Cove and five nearby councils: 2025 divided by 2016, minus 1</t>
        </is>
      </c>
    </row>
    <row r="99" ht="55" customHeight="1">
      <c r="A99" s="10" t="n">
        <v>95</v>
      </c>
      <c r="B99" s="10" t="inlineStr">
        <is>
          <t>Body</t>
        </is>
      </c>
      <c r="C99" s="10" t="inlineStr">
        <is>
          <t>Across all six councils over the same years, Catholic and independent kindergarten held steady, while government kindergarten fell from 3,005 to 2,305.</t>
        </is>
      </c>
      <c r="D99" s="10" t="inlineStr">
        <is>
          <t>independent held steady (change, 2016 to 2025; within 5%)</t>
        </is>
      </c>
      <c r="E99" s="17">
        <f>'Sector kindergarten'!H21</f>
        <v>-0.00268817204301075</v>
      </c>
      <c r="F99" s="13" t="inlineStr">
        <is>
          <t>Sector kindergarten, cell H21</t>
        </is>
      </c>
      <c r="G99" s="10" t="inlineStr">
        <is>
          <t>Lane Cove and five nearby councils: 2025 divided by 2016, minus 1</t>
        </is>
      </c>
    </row>
    <row r="100" ht="42" customHeight="1">
      <c r="A100" s="10" t="n">
        <v>96</v>
      </c>
      <c r="B100" s="10" t="inlineStr">
        <is>
          <t>Body</t>
        </is>
      </c>
      <c r="C100" s="10" t="inlineStr">
        <is>
          <t>It cannot explain most of the drop, which had started before it opened: government kindergarten across the six council areas was already down to 2,428 in 2024.</t>
        </is>
      </c>
      <c r="D100" s="16" t="n">
        <v>2428</v>
      </c>
      <c r="E100" s="12">
        <f>'Sector kindergarten'!F14</f>
        <v>2428</v>
      </c>
      <c r="F100" s="13" t="inlineStr">
        <is>
          <t>Sector kindergarten, cell F14</t>
        </is>
      </c>
      <c r="G100" s="10" t="inlineStr">
        <is>
          <t>Lane Cove and five nearby councils, government kindergarten, 2024 (sum of the schools on the Schools in the six councils sheet)</t>
        </is>
      </c>
    </row>
    <row r="101" ht="42" customHeight="1">
      <c r="A101" s="10" t="n">
        <v>97</v>
      </c>
      <c r="B101" s="10" t="inlineStr">
        <is>
          <t>Body</t>
        </is>
      </c>
      <c r="C101" s="10" t="inlineStr">
        <is>
          <t>The 2021 Census counted the primary school students living in Lane Cove by the type of school they attend. About two in three were at government schools, a higher share than in 2011.</t>
        </is>
      </c>
      <c r="D101" s="10" t="inlineStr">
        <is>
          <t>had gone up since 2011</t>
        </is>
      </c>
      <c r="E101" s="17">
        <f>'Census sector shares'!G24</f>
        <v>0.0376586216610922</v>
      </c>
      <c r="F101" s="13" t="inlineStr">
        <is>
          <t>Census sector shares, cell G24</t>
        </is>
      </c>
      <c r="G101" s="10" t="inlineStr">
        <is>
          <t>Lane Cove: government share in 2021 minus 2011</t>
        </is>
      </c>
    </row>
    <row r="102" ht="42" customHeight="1">
      <c r="A102" s="10" t="n">
        <v>98</v>
      </c>
      <c r="B102" s="10" t="inlineStr">
        <is>
          <t>Body</t>
        </is>
      </c>
      <c r="C102" s="10" t="inlineStr">
        <is>
          <t>The 2021 Census counted the primary school students living in Lane Cove by the type of school they attend. About two in three were at government schools, a higher share than in 2011.</t>
        </is>
      </c>
      <c r="D102" s="10" t="inlineStr">
        <is>
          <t>about two in three (2021)</t>
        </is>
      </c>
      <c r="E102" s="21">
        <f>'Census sector shares'!G7</f>
        <v>0.674799258801729</v>
      </c>
      <c r="F102" s="13" t="inlineStr">
        <is>
          <t>Census sector shares, cell G7</t>
        </is>
      </c>
      <c r="G102" s="10" t="inlineStr">
        <is>
          <t>Lane Cove 2021: government divided by all primary students</t>
        </is>
      </c>
    </row>
    <row r="103" ht="29" customHeight="1">
      <c r="A103" s="10" t="n">
        <v>99</v>
      </c>
      <c r="B103" s="10" t="inlineStr">
        <is>
          <t>Body</t>
        </is>
      </c>
      <c r="C103" s="10" t="inlineStr">
        <is>
          <t>Between 2017 and 2020 that group grew as it aged, because more young children moved in than out.</t>
        </is>
      </c>
      <c r="D103" s="10" t="inlineStr">
        <is>
          <t>grew (each year 2017 to 2020)</t>
        </is>
      </c>
      <c r="E103" s="22">
        <f>'Moving house'!D31</f>
        <v>1.04253544620517</v>
      </c>
      <c r="F103" s="13" t="inlineStr">
        <is>
          <t>Moving house, cell D31</t>
        </is>
      </c>
      <c r="G103" s="10" t="inlineStr">
        <is>
          <t>Lane Cove council area: min of the ratio, 2017 to 2020</t>
        </is>
      </c>
    </row>
    <row r="104" ht="42" customHeight="1">
      <c r="A104" s="10" t="n">
        <v>100</v>
      </c>
      <c r="B104" s="10" t="inlineStr">
        <is>
          <t>Body</t>
        </is>
      </c>
      <c r="C104" s="10" t="inlineStr">
        <is>
          <t>In each of the last four years it has shrunk instead, by about one child in ten.</t>
        </is>
      </c>
      <c r="D104" s="10" t="inlineStr">
        <is>
          <t>about one child in ten (lowest year)</t>
        </is>
      </c>
      <c r="E104" s="22">
        <f>'Moving house'!D33</f>
        <v>0.900703674745895</v>
      </c>
      <c r="F104" s="13" t="inlineStr">
        <is>
          <t>Moving house, cell D33</t>
        </is>
      </c>
      <c r="G104" s="10" t="inlineStr">
        <is>
          <t>Lane Cove council area: min of the ratio, 2022 to 2025</t>
        </is>
      </c>
    </row>
    <row r="105" ht="42" customHeight="1">
      <c r="A105" s="10" t="n">
        <v>101</v>
      </c>
      <c r="B105" s="10" t="inlineStr">
        <is>
          <t>Body</t>
        </is>
      </c>
      <c r="C105" s="10" t="inlineStr">
        <is>
          <t>In each of the last four years it has shrunk instead, by about one child in ten.</t>
        </is>
      </c>
      <c r="D105" s="10" t="inlineStr">
        <is>
          <t>about one child in ten (highest year)</t>
        </is>
      </c>
      <c r="E105" s="22">
        <f>'Moving house'!D34</f>
        <v>0.914716981132075</v>
      </c>
      <c r="F105" s="13" t="inlineStr">
        <is>
          <t>Moving house, cell D34</t>
        </is>
      </c>
      <c r="G105" s="10" t="inlineStr">
        <is>
          <t>Lane Cove council area: max of the ratio, 2022 to 2025</t>
        </is>
      </c>
    </row>
    <row r="106" ht="29" customHeight="1">
      <c r="A106" s="10" t="n">
        <v>102</v>
      </c>
      <c r="B106" s="10" t="inlineStr">
        <is>
          <t>Body</t>
        </is>
      </c>
      <c r="C106" s="10" t="inlineStr">
        <is>
          <t>Across Greater Sydney the same group held about level (ABS population estimates).</t>
        </is>
      </c>
      <c r="D106" s="10" t="inlineStr">
        <is>
          <t>about level (lowest year)</t>
        </is>
      </c>
      <c r="E106" s="22">
        <f>'Moving house'!G33</f>
        <v>0.988150757351113</v>
      </c>
      <c r="F106" s="13" t="inlineStr">
        <is>
          <t>Moving house, cell G33</t>
        </is>
      </c>
      <c r="G106" s="10" t="inlineStr">
        <is>
          <t>Min of the ratio, 2022 to 2025</t>
        </is>
      </c>
    </row>
    <row r="107" ht="29" customHeight="1">
      <c r="A107" s="10" t="n">
        <v>103</v>
      </c>
      <c r="B107" s="10" t="inlineStr">
        <is>
          <t>Body</t>
        </is>
      </c>
      <c r="C107" s="10" t="inlineStr">
        <is>
          <t>Across Greater Sydney the same group held about level (ABS population estimates).</t>
        </is>
      </c>
      <c r="D107" s="10" t="inlineStr">
        <is>
          <t>about level (highest year)</t>
        </is>
      </c>
      <c r="E107" s="22">
        <f>'Moving house'!G34</f>
        <v>1.00266928046555</v>
      </c>
      <c r="F107" s="13" t="inlineStr">
        <is>
          <t>Moving house, cell G34</t>
        </is>
      </c>
      <c r="G107" s="10" t="inlineStr">
        <is>
          <t>Max of the ratio, 2022 to 2025</t>
        </is>
      </c>
    </row>
    <row r="108" ht="42" customHeight="1">
      <c r="A108" s="10" t="n">
        <v>104</v>
      </c>
      <c r="B108" s="10" t="inlineStr">
        <is>
          <t>Body</t>
        </is>
      </c>
      <c r="C108" s="10" t="inlineStr">
        <is>
          <t>The number of children aged five to nine living in Lane Cove is about where it was: 2,400 a year from 2016 to 2019 and 2,370 from 2023 to 2025.</t>
        </is>
      </c>
      <c r="D108" s="16" t="n">
        <v>2400</v>
      </c>
      <c r="E108" s="15">
        <f>'Resident children ratio'!C16</f>
        <v>2400.5</v>
      </c>
      <c r="F108" s="13" t="inlineStr">
        <is>
          <t>Resident children ratio, cell C16</t>
        </is>
      </c>
      <c r="G108" s="10" t="inlineStr">
        <is>
          <t>Average Lane Cove children aged 5 to 9, 2016 to 2019</t>
        </is>
      </c>
    </row>
    <row r="109" ht="42" customHeight="1">
      <c r="A109" s="10" t="n">
        <v>105</v>
      </c>
      <c r="B109" s="10" t="inlineStr">
        <is>
          <t>Body</t>
        </is>
      </c>
      <c r="C109" s="10" t="inlineStr">
        <is>
          <t>The number of children aged five to nine living in Lane Cove is about where it was: 2,400 a year from 2016 to 2019 and 2,370 from 2023 to 2025.</t>
        </is>
      </c>
      <c r="D109" s="16" t="n">
        <v>2370</v>
      </c>
      <c r="E109" s="15">
        <f>'Resident children ratio'!C17</f>
        <v>2366.33333333333</v>
      </c>
      <c r="F109" s="13" t="inlineStr">
        <is>
          <t>Resident children ratio, cell C17</t>
        </is>
      </c>
      <c r="G109" s="10" t="inlineStr">
        <is>
          <t>Average Lane Cove children aged 5 to 9, 2023 to 2025</t>
        </is>
      </c>
    </row>
    <row r="110" ht="29" customHeight="1">
      <c r="A110" s="10" t="n">
        <v>106</v>
      </c>
      <c r="B110" s="10" t="inlineStr">
        <is>
          <t>Body</t>
        </is>
      </c>
      <c r="C110" s="10" t="inlineStr">
        <is>
          <t>Kindergarten at the five schools fell much further, from 494 a year to 413.</t>
        </is>
      </c>
      <c r="D110" s="11" t="n">
        <v>494</v>
      </c>
      <c r="E110" s="15">
        <f>'Resident children ratio'!B16</f>
        <v>493.75</v>
      </c>
      <c r="F110" s="13" t="inlineStr">
        <is>
          <t>Resident children ratio, cell B16</t>
        </is>
      </c>
      <c r="G110" s="10" t="inlineStr">
        <is>
          <t>Average five-school kindergarten, 2016 to 2019</t>
        </is>
      </c>
    </row>
    <row r="111" ht="29" customHeight="1">
      <c r="A111" s="10" t="n">
        <v>107</v>
      </c>
      <c r="B111" s="10" t="inlineStr">
        <is>
          <t>Body</t>
        </is>
      </c>
      <c r="C111" s="10" t="inlineStr">
        <is>
          <t>Kindergarten at the five schools fell much further, from 494 a year to 413.</t>
        </is>
      </c>
      <c r="D111" s="11" t="n">
        <v>413</v>
      </c>
      <c r="E111" s="15">
        <f>'Resident children ratio'!B17</f>
        <v>412.666666666667</v>
      </c>
      <c r="F111" s="13" t="inlineStr">
        <is>
          <t>Resident children ratio, cell B17</t>
        </is>
      </c>
      <c r="G111" s="10" t="inlineStr">
        <is>
          <t>Average five-school kindergarten, 2023 to 2025</t>
        </is>
      </c>
    </row>
    <row r="112" ht="55" customHeight="1">
      <c r="A112" s="10" t="n">
        <v>108</v>
      </c>
      <c r="B112" s="10" t="inlineStr">
        <is>
          <t>Body</t>
        </is>
      </c>
      <c r="C112" s="10" t="inlineStr">
        <is>
          <t>For every 1,000 children aged five to nine living here, the five schools (Mowbray included) took 206 into kindergarten each year from 2016 to 2019, and 174 from 2023 to 2025, a fall of 15%.</t>
        </is>
      </c>
      <c r="D112" s="11" t="n">
        <v>206</v>
      </c>
      <c r="E112" s="15">
        <f>'Resident children ratio'!D16</f>
        <v>205.686315350969</v>
      </c>
      <c r="F112" s="13" t="inlineStr">
        <is>
          <t>Resident children ratio, cell D16</t>
        </is>
      </c>
      <c r="G112" s="10" t="inlineStr">
        <is>
          <t>Five schools: average kindergarten per 1,000 average children aged 5 to 9, 2016 to 2019</t>
        </is>
      </c>
    </row>
    <row r="113" ht="55" customHeight="1">
      <c r="A113" s="10" t="n">
        <v>109</v>
      </c>
      <c r="B113" s="10" t="inlineStr">
        <is>
          <t>Body</t>
        </is>
      </c>
      <c r="C113" s="10" t="inlineStr">
        <is>
          <t>For every 1,000 children aged five to nine living here, the five schools (Mowbray included) took 206 into kindergarten each year from 2016 to 2019, and 174 from 2023 to 2025, a fall of 15%.</t>
        </is>
      </c>
      <c r="D113" s="11" t="n">
        <v>174</v>
      </c>
      <c r="E113" s="15">
        <f>'Resident children ratio'!D17</f>
        <v>174.390759261868</v>
      </c>
      <c r="F113" s="13" t="inlineStr">
        <is>
          <t>Resident children ratio, cell D17</t>
        </is>
      </c>
      <c r="G113" s="10" t="inlineStr">
        <is>
          <t>Five schools: average kindergarten per 1,000 average children aged 5 to 9, 2023 to 2025</t>
        </is>
      </c>
    </row>
    <row r="114" ht="55" customHeight="1">
      <c r="A114" s="10" t="n">
        <v>110</v>
      </c>
      <c r="B114" s="10" t="inlineStr">
        <is>
          <t>Body</t>
        </is>
      </c>
      <c r="C114" s="10" t="inlineStr">
        <is>
          <t>For every 1,000 children aged five to nine living here, the five schools (Mowbray included) took 206 into kindergarten each year from 2016 to 2019, and 174 from 2023 to 2025, a fall of 15%.</t>
        </is>
      </c>
      <c r="D114" s="10" t="inlineStr">
        <is>
          <t>a fall of 15%</t>
        </is>
      </c>
      <c r="E114" s="17">
        <f>'Resident children ratio'!D18</f>
        <v>-0.152151863072175</v>
      </c>
      <c r="F114" s="13" t="inlineStr">
        <is>
          <t>Resident children ratio, cell D18</t>
        </is>
      </c>
      <c r="G114" s="10" t="inlineStr">
        <is>
          <t>Five schools: ratio 2023-25 against 2016-19</t>
        </is>
      </c>
    </row>
    <row r="115" ht="42" customHeight="1">
      <c r="A115" s="10" t="n">
        <v>111</v>
      </c>
      <c r="B115" s="10" t="inlineStr">
        <is>
          <t>From an earlier draft (now only in this workbook)</t>
        </is>
      </c>
      <c r="C115" s="10" t="inlineStr">
        <is>
          <t>Counting every school in each area, the figure across the six councils went from 207 to 187, and across Greater Sydney from 200 to 192.</t>
        </is>
      </c>
      <c r="D115" s="10" t="inlineStr">
        <is>
          <t>207 (six councils)</t>
        </is>
      </c>
      <c r="E115" s="15">
        <f>'Resident children ratio'!K16</f>
        <v>207.218539842276</v>
      </c>
      <c r="F115" s="13" t="inlineStr">
        <is>
          <t>Resident children ratio, cell K16</t>
        </is>
      </c>
      <c r="G115" s="10" t="inlineStr">
        <is>
          <t>Six councils: average kindergarten per 1,000 average children aged 5 to 9, 2016 to 2019</t>
        </is>
      </c>
    </row>
    <row r="116" ht="42" customHeight="1">
      <c r="A116" s="10" t="n">
        <v>112</v>
      </c>
      <c r="B116" s="10" t="inlineStr">
        <is>
          <t>From an earlier draft (now only in this workbook)</t>
        </is>
      </c>
      <c r="C116" s="10" t="inlineStr">
        <is>
          <t>Counting every school in each area, the figure across the six councils went from 207 to 187, and across Greater Sydney from 200 to 192.</t>
        </is>
      </c>
      <c r="D116" s="10" t="inlineStr">
        <is>
          <t>187 (six councils)</t>
        </is>
      </c>
      <c r="E116" s="15">
        <f>'Resident children ratio'!K17</f>
        <v>186.60748745658</v>
      </c>
      <c r="F116" s="13" t="inlineStr">
        <is>
          <t>Resident children ratio, cell K17</t>
        </is>
      </c>
      <c r="G116" s="10" t="inlineStr">
        <is>
          <t>Six councils: average kindergarten per 1,000 average children aged 5 to 9, 2023 to 2025</t>
        </is>
      </c>
    </row>
    <row r="117" ht="42" customHeight="1">
      <c r="A117" s="10" t="n">
        <v>113</v>
      </c>
      <c r="B117" s="10" t="inlineStr">
        <is>
          <t>From an earlier draft (now only in this workbook)</t>
        </is>
      </c>
      <c r="C117" s="10" t="inlineStr">
        <is>
          <t>Counting every school in each area, the figure across the six councils went from 207 to 187, and across Greater Sydney from 200 to 192.</t>
        </is>
      </c>
      <c r="D117" s="10" t="inlineStr">
        <is>
          <t>200 (Greater Sydney)</t>
        </is>
      </c>
      <c r="E117" s="15">
        <f>'Resident children ratio'!N16</f>
        <v>200.011849763233</v>
      </c>
      <c r="F117" s="13" t="inlineStr">
        <is>
          <t>Resident children ratio, cell N16</t>
        </is>
      </c>
      <c r="G117" s="10" t="inlineStr">
        <is>
          <t>Greater Sydney: average kindergarten per 1,000 average children aged 5 to 9, 2016 to 2019</t>
        </is>
      </c>
    </row>
    <row r="118" ht="42" customHeight="1">
      <c r="A118" s="10" t="n">
        <v>114</v>
      </c>
      <c r="B118" s="10" t="inlineStr">
        <is>
          <t>From an earlier draft (now only in this workbook)</t>
        </is>
      </c>
      <c r="C118" s="10" t="inlineStr">
        <is>
          <t>Counting every school in each area, the figure across the six councils went from 207 to 187, and across Greater Sydney from 200 to 192.</t>
        </is>
      </c>
      <c r="D118" s="10" t="inlineStr">
        <is>
          <t>192 (Greater Sydney)</t>
        </is>
      </c>
      <c r="E118" s="15">
        <f>'Resident children ratio'!N17</f>
        <v>191.678537294149</v>
      </c>
      <c r="F118" s="13" t="inlineStr">
        <is>
          <t>Resident children ratio, cell N17</t>
        </is>
      </c>
      <c r="G118" s="10" t="inlineStr">
        <is>
          <t>Greater Sydney: average kindergarten per 1,000 average children aged 5 to 9, 2023 to 2025</t>
        </is>
      </c>
    </row>
    <row r="119" ht="68" customHeight="1">
      <c r="A119" s="10" t="n">
        <v>115</v>
      </c>
      <c r="B119" s="10" t="inlineStr">
        <is>
          <t>Body</t>
        </is>
      </c>
      <c r="C119" s="10" t="inlineStr">
        <is>
          <t>Measured this way, each of the last four intakes was lower than any year from 2016 to 2021.</t>
        </is>
      </c>
      <c r="D119" s="10" t="inlineStr">
        <is>
          <t>each of the last four intakes lower than any year from 2016 to 2021</t>
        </is>
      </c>
      <c r="E119" s="19" t="str">
        <f>'Resident children ratio'!D22</f>
        <v>Yes</v>
      </c>
      <c r="F119" s="13" t="inlineStr">
        <is>
          <t>Resident children ratio, cell D22</t>
        </is>
      </c>
      <c r="G119" s="10" t="inlineStr">
        <is>
          <t>Five schools: Lane Cove Public, Lane Cove West, Greenwich, St Michael's and Mowbray: was each of the last four intakes (2022 to 2025) lower than every year from 2016 to 2021?</t>
        </is>
      </c>
    </row>
    <row r="120" ht="55" customHeight="1">
      <c r="A120" s="10" t="n">
        <v>116</v>
      </c>
      <c r="B120" s="10" t="inlineStr">
        <is>
          <t>From an earlier draft (now only in this workbook)</t>
        </is>
      </c>
      <c r="C120" s="10" t="inlineStr">
        <is>
          <t>At the 2021 Census about one in four people in the council area lived in the catchment of a public school outside it, most of them in Mowbray's (2021 Census counts on the Department of Education's school catchments).</t>
        </is>
      </c>
      <c r="D120" s="10" t="inlineStr">
        <is>
          <t>about one in four</t>
        </is>
      </c>
      <c r="E120" s="21">
        <f>'Mowbray and the boundary'!D13</f>
        <v>0.248670145397437</v>
      </c>
      <c r="F120" s="13" t="inlineStr">
        <is>
          <t>Mowbray and the boundary, cell D13</t>
        </is>
      </c>
      <c r="G120" s="10" t="inlineStr">
        <is>
          <t>Share of the council area in an outside school's catchment (current map)</t>
        </is>
      </c>
    </row>
    <row r="121" ht="55" customHeight="1">
      <c r="A121" s="10" t="n">
        <v>117</v>
      </c>
      <c r="B121" s="10" t="inlineStr">
        <is>
          <t>From an earlier draft (now only in this workbook)</t>
        </is>
      </c>
      <c r="C121" s="10" t="inlineStr">
        <is>
          <t>At the 2021 Census about one in four people in the council area lived in the catchment of a public school outside it, most of them in Mowbray's (2021 Census counts on the Department of Education's school catchments).</t>
        </is>
      </c>
      <c r="D121" s="10" t="inlineStr">
        <is>
          <t>most of them in Mowbray's</t>
        </is>
      </c>
      <c r="E121" s="21">
        <f>'Mowbray and the boundary'!D14</f>
        <v>0.789243149638382</v>
      </c>
      <c r="F121" s="13" t="inlineStr">
        <is>
          <t>Mowbray and the boundary, cell D14</t>
        </is>
      </c>
      <c r="G121" s="10" t="inlineStr">
        <is>
          <t>Mowbray's share of those zoned outside (current map)</t>
        </is>
      </c>
    </row>
    <row r="122" ht="42" customHeight="1">
      <c r="A122" s="10" t="n">
        <v>118</v>
      </c>
      <c r="B122" s="10" t="inlineStr">
        <is>
          <t>From an earlier draft (now only in this workbook)</t>
        </is>
      </c>
      <c r="C122" s="10" t="inlineStr">
        <is>
          <t>Split by the people on each side of the boundary, the fall would be about 17% to 20% rather than 15%.</t>
        </is>
      </c>
      <c r="D122" s="10" t="inlineStr">
        <is>
          <t>split by the people</t>
        </is>
      </c>
      <c r="E122" s="17">
        <f>'Mowbray and the boundary'!G44</f>
        <v>-0.192296632692636</v>
      </c>
      <c r="F122" s="13" t="inlineStr">
        <is>
          <t>Mowbray and the boundary, cell G44</t>
        </is>
      </c>
      <c r="G122" s="10" t="inlineStr">
        <is>
          <t>Mowbray Public's kindergarten, split across the council boundary: four schools plus the Lane Cove share of Mowbray (people): change</t>
        </is>
      </c>
    </row>
    <row r="123" ht="42" customHeight="1">
      <c r="A123" s="10" t="n">
        <v>119</v>
      </c>
      <c r="B123" s="10" t="inlineStr">
        <is>
          <t>From an earlier draft (now only in this workbook)</t>
        </is>
      </c>
      <c r="C123" s="10" t="inlineStr">
        <is>
          <t>Split by the people on each side of the boundary, the fall would be about 17% to 20% rather than 15%.</t>
        </is>
      </c>
      <c r="D123" s="10" t="inlineStr">
        <is>
          <t>about 17% (smallest fall of the four weightings)</t>
        </is>
      </c>
      <c r="E123" s="17">
        <f>'Mowbray and the boundary'!D54</f>
        <v>-0.17316837393281</v>
      </c>
      <c r="F123" s="13" t="inlineStr">
        <is>
          <t>Mowbray and the boundary, cell D54</t>
        </is>
      </c>
      <c r="G123" s="10" t="inlineStr">
        <is>
          <t>Mowbray Public's kindergarten, split across the council boundary: smallest fall of the four weightings</t>
        </is>
      </c>
    </row>
    <row r="124" ht="42" customHeight="1">
      <c r="A124" s="10" t="n">
        <v>120</v>
      </c>
      <c r="B124" s="10" t="inlineStr">
        <is>
          <t>From an earlier draft (now only in this workbook)</t>
        </is>
      </c>
      <c r="C124" s="10" t="inlineStr">
        <is>
          <t>Split by the people on each side of the boundary, the fall would be about 17% to 20% rather than 15%.</t>
        </is>
      </c>
      <c r="D124" s="10" t="inlineStr">
        <is>
          <t>to 20% (largest fall of the four weightings)</t>
        </is>
      </c>
      <c r="E124" s="17">
        <f>'Mowbray and the boundary'!E54</f>
        <v>-0.195663838901883</v>
      </c>
      <c r="F124" s="13" t="inlineStr">
        <is>
          <t>Mowbray and the boundary, cell E54</t>
        </is>
      </c>
      <c r="G124" s="10" t="inlineStr">
        <is>
          <t>Mowbray Public's kindergarten, split across the council boundary: largest fall of the four weightings</t>
        </is>
      </c>
    </row>
    <row r="125" ht="42" customHeight="1">
      <c r="A125" s="10" t="n">
        <v>121</v>
      </c>
      <c r="B125" s="10" t="inlineStr">
        <is>
          <t>From an earlier draft (now only in this workbook)</t>
        </is>
      </c>
      <c r="C125" s="10" t="inlineStr">
        <is>
          <t>Split by the people on each side of the boundary, the fall would be about 17% to 20% rather than 15%.</t>
        </is>
      </c>
      <c r="D125" s="10" t="inlineStr">
        <is>
          <t>rather than 15%</t>
        </is>
      </c>
      <c r="E125" s="17">
        <f>'Resident children ratio'!D18</f>
        <v>-0.152151863072175</v>
      </c>
      <c r="F125" s="13" t="inlineStr">
        <is>
          <t>Resident children ratio, cell D18</t>
        </is>
      </c>
      <c r="G125" s="10" t="inlineStr">
        <is>
          <t>Five schools: Lane Cove Public, Lane Cove West, Greenwich, St Michael's and Mowbray: five schools: ratio 2023-25 against 2016-19</t>
        </is>
      </c>
    </row>
    <row r="126" ht="29" customHeight="1">
      <c r="A126" s="10" t="n">
        <v>122</v>
      </c>
      <c r="B126" s="10" t="inlineStr">
        <is>
          <t>Body</t>
        </is>
      </c>
      <c r="C126" s="10" t="inlineStr">
        <is>
          <t>In 2019 all three public primaries in the LGA had more students than the caps set for 2020.</t>
        </is>
      </c>
      <c r="D126" s="10" t="inlineStr">
        <is>
          <t>all three</t>
        </is>
      </c>
      <c r="E126" s="12">
        <f>'Enrolment caps'!E10</f>
        <v>3</v>
      </c>
      <c r="F126" s="13" t="inlineStr">
        <is>
          <t>Enrolment caps, cell E10</t>
        </is>
      </c>
      <c r="G126" s="10" t="inlineStr">
        <is>
          <t>Count of council-area public schools over their 2020 cap on 2019 enrolments</t>
        </is>
      </c>
    </row>
    <row r="127" ht="55" customHeight="1">
      <c r="A127" s="10" t="n">
        <v>123</v>
      </c>
      <c r="B127" s="10" t="inlineStr">
        <is>
          <t>Body</t>
        </is>
      </c>
      <c r="C127" s="10" t="inlineStr">
        <is>
          <t>But the caps do not line up with the falls: Lane Cove Public, below its cap every year since 2020, and Greenwich, whose cap was raised in 2021, each lost more kindergarten children a year than Lane Cove West, which was still over its cap in 2021.</t>
        </is>
      </c>
      <c r="D127" s="10" t="inlineStr">
        <is>
          <t>Lane Cove Public below its cap every year since 2020</t>
        </is>
      </c>
      <c r="E127" s="19" t="str">
        <f>'Enrolment caps'!I14</f>
        <v>Yes</v>
      </c>
      <c r="F127" s="13" t="inlineStr">
        <is>
          <t>Enrolment caps, cell I14</t>
        </is>
      </c>
      <c r="G127" s="10" t="inlineStr">
        <is>
          <t>Lane Cove Public: below its 2020 cap in every year 2020 to 2025?</t>
        </is>
      </c>
    </row>
    <row r="128" ht="55" customHeight="1">
      <c r="A128" s="10" t="n">
        <v>124</v>
      </c>
      <c r="B128" s="10" t="inlineStr">
        <is>
          <t>Body</t>
        </is>
      </c>
      <c r="C128" s="10" t="inlineStr">
        <is>
          <t>But the caps do not line up with the falls: Lane Cove Public, below its cap every year since 2020, and Greenwich, whose cap was raised in 2021, each lost more kindergarten children a year than Lane Cove West, which was still over its cap in 2021.</t>
        </is>
      </c>
      <c r="D128" s="10" t="inlineStr">
        <is>
          <t>Greenwich's cap raised in 2021</t>
        </is>
      </c>
      <c r="E128" s="19" t="str">
        <f>'Enrolment caps'!G7</f>
        <v>Yes</v>
      </c>
      <c r="F128" s="13" t="inlineStr">
        <is>
          <t>Enrolment caps, cell G7</t>
        </is>
      </c>
      <c r="G128" s="10" t="inlineStr">
        <is>
          <t>Greenwich Public School: cap raised for 2021?</t>
        </is>
      </c>
    </row>
    <row r="129" ht="68" customHeight="1">
      <c r="A129" s="10" t="n">
        <v>125</v>
      </c>
      <c r="B129" s="10" t="inlineStr">
        <is>
          <t>Body</t>
        </is>
      </c>
      <c r="C129" s="10" t="inlineStr">
        <is>
          <t>But the caps do not line up with the falls: Lane Cove Public, below its cap every year since 2020, and Greenwich, whose cap was raised in 2021, each lost more kindergarten children a year than Lane Cove West, which was still over its cap in 2021.</t>
        </is>
      </c>
      <c r="D129" s="10" t="inlineStr">
        <is>
          <t>Lane Cove Public lost more kindergarten children a year than Lane Cove West</t>
        </is>
      </c>
      <c r="E129" s="19" t="str">
        <f>'Enrolment caps'!H20</f>
        <v>Yes</v>
      </c>
      <c r="F129" s="13" t="inlineStr">
        <is>
          <t>Enrolment caps, cell H20</t>
        </is>
      </c>
      <c r="G129" s="10" t="inlineStr">
        <is>
          <t>Lane Cove Public: lost more kindergarten children a year than Lane Cove West (2016-19 against 2023-25)?</t>
        </is>
      </c>
    </row>
    <row r="130" ht="68" customHeight="1">
      <c r="A130" s="10" t="n">
        <v>126</v>
      </c>
      <c r="B130" s="10" t="inlineStr">
        <is>
          <t>Body</t>
        </is>
      </c>
      <c r="C130" s="10" t="inlineStr">
        <is>
          <t>But the caps do not line up with the falls: Lane Cove Public, below its cap every year since 2020, and Greenwich, whose cap was raised in 2021, each lost more kindergarten children a year than Lane Cove West, which was still over its cap in 2021.</t>
        </is>
      </c>
      <c r="D130" s="10" t="inlineStr">
        <is>
          <t>Greenwich lost more kindergarten children a year than Lane Cove West</t>
        </is>
      </c>
      <c r="E130" s="19" t="str">
        <f>'Enrolment caps'!H22</f>
        <v>Yes</v>
      </c>
      <c r="F130" s="13" t="inlineStr">
        <is>
          <t>Enrolment caps, cell H22</t>
        </is>
      </c>
      <c r="G130" s="10" t="inlineStr">
        <is>
          <t>Greenwich Public: lost more kindergarten children a year than Lane Cove West (2016-19 against 2023-25)?</t>
        </is>
      </c>
    </row>
    <row r="131" ht="55" customHeight="1">
      <c r="A131" s="10" t="n">
        <v>127</v>
      </c>
      <c r="B131" s="10" t="inlineStr">
        <is>
          <t>Body</t>
        </is>
      </c>
      <c r="C131" s="10" t="inlineStr">
        <is>
          <t>But the caps do not line up with the falls: Lane Cove Public, below its cap every year since 2020, and Greenwich, whose cap was raised in 2021, each lost more kindergarten children a year than Lane Cove West, which was still over its cap in 2021.</t>
        </is>
      </c>
      <c r="D131" s="10" t="inlineStr">
        <is>
          <t>Lane Cove West still over its cap in 2021</t>
        </is>
      </c>
      <c r="E131" s="20">
        <f>'Enrolment caps'!J6</f>
        <v>130</v>
      </c>
      <c r="F131" s="13" t="inlineStr">
        <is>
          <t>Enrolment caps, cell J6</t>
        </is>
      </c>
      <c r="G131" s="10" t="inlineStr">
        <is>
          <t>Lane Cove West Public School: ACARA 2021 enrolment minus 2021 cap</t>
        </is>
      </c>
    </row>
    <row r="132" ht="42" customHeight="1">
      <c r="A132" s="10" t="n">
        <v>128</v>
      </c>
      <c r="B132" s="10" t="inlineStr">
        <is>
          <t>Body</t>
        </is>
      </c>
      <c r="C132" s="10" t="inlineStr">
        <is>
          <t>The NSW Government's 2024 population projection expected 2,855 under-fives in Lane Cove in 2025, 507 more than the ABS estimate of 2,348, and more than 3,100 by 2029.</t>
        </is>
      </c>
      <c r="D132" s="16" t="n">
        <v>2855</v>
      </c>
      <c r="E132" s="12">
        <f>'Births and under-fives'!H19</f>
        <v>2855</v>
      </c>
      <c r="F132" s="13" t="inlineStr">
        <is>
          <t>Births and under-fives, cell H19</t>
        </is>
      </c>
      <c r="G132" s="10" t="inlineStr">
        <is>
          <t>NSW 2024 population projection: NSW 2024 projection, children aged 0 to 4 in 2025</t>
        </is>
      </c>
    </row>
    <row r="133" ht="42" customHeight="1">
      <c r="A133" s="10" t="n">
        <v>129</v>
      </c>
      <c r="B133" s="10" t="inlineStr">
        <is>
          <t>Body</t>
        </is>
      </c>
      <c r="C133" s="10" t="inlineStr">
        <is>
          <t>The NSW Government's 2024 population projection expected 2,855 under-fives in Lane Cove in 2025, 507 more than the ABS estimate of 2,348, and more than 3,100 by 2029.</t>
        </is>
      </c>
      <c r="D133" s="11" t="n">
        <v>507</v>
      </c>
      <c r="E133" s="20">
        <f>'Births and under-fives'!I19</f>
        <v>507</v>
      </c>
      <c r="F133" s="13" t="inlineStr">
        <is>
          <t>Births and under-fives, cell I19</t>
        </is>
      </c>
      <c r="G133" s="10" t="inlineStr">
        <is>
          <t>Lane Cove council area: projection minus ABS estimate, 2025</t>
        </is>
      </c>
    </row>
    <row r="134" ht="42" customHeight="1">
      <c r="A134" s="10" t="n">
        <v>130</v>
      </c>
      <c r="B134" s="10" t="inlineStr">
        <is>
          <t>Body</t>
        </is>
      </c>
      <c r="C134" s="10" t="inlineStr">
        <is>
          <t>The NSW Government's 2024 population projection expected 2,855 under-fives in Lane Cove in 2025, 507 more than the ABS estimate of 2,348, and more than 3,100 by 2029.</t>
        </is>
      </c>
      <c r="D134" s="16" t="n">
        <v>2348</v>
      </c>
      <c r="E134" s="12">
        <f>'Births and under-fives'!G19</f>
        <v>2348</v>
      </c>
      <c r="F134" s="13" t="inlineStr">
        <is>
          <t>Births and under-fives, cell G19</t>
        </is>
      </c>
      <c r="G134" s="10" t="inlineStr">
        <is>
          <t>Lane Cove council area: ABS estimate, children aged 0 to 4 at 30 June 2025</t>
        </is>
      </c>
    </row>
    <row r="135" ht="42" customHeight="1">
      <c r="A135" s="10" t="n">
        <v>131</v>
      </c>
      <c r="B135" s="10" t="inlineStr">
        <is>
          <t>Body</t>
        </is>
      </c>
      <c r="C135" s="10" t="inlineStr">
        <is>
          <t>The NSW Government's 2024 population projection expected 2,855 under-fives in Lane Cove in 2025, 507 more than the ABS estimate of 2,348, and more than 3,100 by 2029.</t>
        </is>
      </c>
      <c r="D135" s="10" t="inlineStr">
        <is>
          <t>more than 3,100</t>
        </is>
      </c>
      <c r="E135" s="12">
        <f>'Births and under-fives'!H23</f>
        <v>3170</v>
      </c>
      <c r="F135" s="13" t="inlineStr">
        <is>
          <t>Births and under-fives, cell H23</t>
        </is>
      </c>
      <c r="G135" s="10" t="inlineStr">
        <is>
          <t>NSW 2024 population projection: NSW 2024 projection, children aged 0 to 4 in 2029</t>
        </is>
      </c>
    </row>
    <row r="136" ht="29" customHeight="1">
      <c r="A136" s="10" t="n">
        <v>132</v>
      </c>
      <c r="B136" s="10" t="inlineStr">
        <is>
          <t>From an earlier draft (now only in this workbook)</t>
        </is>
      </c>
      <c r="C136" s="10" t="inlineStr">
        <is>
          <t>Births registered to Lane Cove residents went from 598 in 2018 to 450 in 2024.</t>
        </is>
      </c>
      <c r="D136" s="11" t="n">
        <v>598</v>
      </c>
      <c r="E136" s="12">
        <f>'Births and under-fives'!B12</f>
        <v>598</v>
      </c>
      <c r="F136" s="13" t="inlineStr">
        <is>
          <t>Births and under-fives, cell B12</t>
        </is>
      </c>
      <c r="G136" s="10" t="inlineStr">
        <is>
          <t>ABS births registered to Lane Cove residents, 2018</t>
        </is>
      </c>
    </row>
    <row r="137" ht="29" customHeight="1">
      <c r="A137" s="10" t="n">
        <v>133</v>
      </c>
      <c r="B137" s="10" t="inlineStr">
        <is>
          <t>From an earlier draft (now only in this workbook)</t>
        </is>
      </c>
      <c r="C137" s="10" t="inlineStr">
        <is>
          <t>Births registered to Lane Cove residents went from 598 in 2018 to 450 in 2024.</t>
        </is>
      </c>
      <c r="D137" s="11" t="n">
        <v>450</v>
      </c>
      <c r="E137" s="12">
        <f>'Births and under-fives'!B18</f>
        <v>450</v>
      </c>
      <c r="F137" s="13" t="inlineStr">
        <is>
          <t>Births and under-fives, cell B18</t>
        </is>
      </c>
      <c r="G137" s="10" t="inlineStr">
        <is>
          <t>ABS births registered to Lane Cove residents, 2024</t>
        </is>
      </c>
    </row>
    <row r="138" ht="29" customHeight="1">
      <c r="A138" s="10" t="n">
        <v>134</v>
      </c>
      <c r="B138" s="10" t="inlineStr">
        <is>
          <t>Body</t>
        </is>
      </c>
      <c r="C138" s="10" t="inlineStr">
        <is>
          <t>The ABS estimates that the number of children under five living here fell from a high of 2,653 in 2019 to 2,348 in 2025.</t>
        </is>
      </c>
      <c r="D138" s="16" t="n">
        <v>2653</v>
      </c>
      <c r="E138" s="12">
        <f>'Births and under-fives'!G13</f>
        <v>2653</v>
      </c>
      <c r="F138" s="13" t="inlineStr">
        <is>
          <t>Births and under-fives, cell G13</t>
        </is>
      </c>
      <c r="G138" s="10" t="inlineStr">
        <is>
          <t>Lane Cove council area: ABS estimate, children aged 0 to 4 at 30 June 2019</t>
        </is>
      </c>
    </row>
    <row r="139" ht="29" customHeight="1">
      <c r="A139" s="10" t="n">
        <v>135</v>
      </c>
      <c r="B139" s="10" t="inlineStr">
        <is>
          <t>Body</t>
        </is>
      </c>
      <c r="C139" s="10" t="inlineStr">
        <is>
          <t>The ABS estimates that the number of children under five living here fell from a high of 2,653 in 2019 to 2,348 in 2025.</t>
        </is>
      </c>
      <c r="D139" s="10" t="inlineStr">
        <is>
          <t>a high (2019)</t>
        </is>
      </c>
      <c r="E139" s="14">
        <f>'Births and under-fives'!G37</f>
        <v>2019</v>
      </c>
      <c r="F139" s="13" t="inlineStr">
        <is>
          <t>Births and under-fives, cell G37</t>
        </is>
      </c>
      <c r="G139" s="10" t="inlineStr">
        <is>
          <t>Lane Cove council area: year of that high</t>
        </is>
      </c>
    </row>
    <row r="140" ht="29" customHeight="1">
      <c r="A140" s="10" t="n">
        <v>136</v>
      </c>
      <c r="B140" s="10" t="inlineStr">
        <is>
          <t>Body</t>
        </is>
      </c>
      <c r="C140" s="10" t="inlineStr">
        <is>
          <t>The ABS estimates that the number of children under five living here fell from a high of 2,653 in 2019 to 2,348 in 2025.</t>
        </is>
      </c>
      <c r="D140" s="16" t="n">
        <v>2348</v>
      </c>
      <c r="E140" s="12">
        <f>'Births and under-fives'!G19</f>
        <v>2348</v>
      </c>
      <c r="F140" s="13" t="inlineStr">
        <is>
          <t>Births and under-fives, cell G19</t>
        </is>
      </c>
      <c r="G140" s="10" t="inlineStr">
        <is>
          <t>Lane Cove council area: ABS estimate, children aged 0 to 4 at 30 June 2025</t>
        </is>
      </c>
    </row>
    <row r="141" ht="55" customHeight="1">
      <c r="A141" s="10" t="n">
        <v>137</v>
      </c>
      <c r="B141" s="10" t="inlineStr">
        <is>
          <t>Body</t>
        </is>
      </c>
      <c r="C141" s="10" t="inlineStr">
        <is>
          <t>Lane Cove's, a three-year average of births per woman, fell from 1.65 in 2018 to 1.47 in 2023 (1.33 in 2024, a figure understated by registration timing), and every one of the six council areas is lower than in 2018.</t>
        </is>
      </c>
      <c r="D141" s="23" t="n">
        <v>1.65</v>
      </c>
      <c r="E141" s="24">
        <f>'Births and under-fives'!F12</f>
        <v>1.65</v>
      </c>
      <c r="F141" s="13" t="inlineStr">
        <is>
          <t>Births and under-fives, cell F12</t>
        </is>
      </c>
      <c r="G141" s="10" t="inlineStr">
        <is>
          <t>Lane Cove council area: ABS fertility rate, three-year average 2016 to 2018</t>
        </is>
      </c>
    </row>
    <row r="142" ht="55" customHeight="1">
      <c r="A142" s="10" t="n">
        <v>138</v>
      </c>
      <c r="B142" s="10" t="inlineStr">
        <is>
          <t>Body</t>
        </is>
      </c>
      <c r="C142" s="10" t="inlineStr">
        <is>
          <t>Lane Cove's, a three-year average of births per woman, fell from 1.65 in 2018 to 1.47 in 2023 (1.33 in 2024, a figure understated by registration timing), and every one of the six council areas is lower than in 2018.</t>
        </is>
      </c>
      <c r="D142" s="23" t="n">
        <v>1.47</v>
      </c>
      <c r="E142" s="24">
        <f>'Births and under-fives'!F17</f>
        <v>1.47</v>
      </c>
      <c r="F142" s="13" t="inlineStr">
        <is>
          <t>Births and under-fives, cell F17</t>
        </is>
      </c>
      <c r="G142" s="10" t="inlineStr">
        <is>
          <t>Lane Cove council area: ABS fertility rate, three-year average 2021 to 2023</t>
        </is>
      </c>
    </row>
    <row r="143" ht="55" customHeight="1">
      <c r="A143" s="10" t="n">
        <v>139</v>
      </c>
      <c r="B143" s="10" t="inlineStr">
        <is>
          <t>Body</t>
        </is>
      </c>
      <c r="C143" s="10" t="inlineStr">
        <is>
          <t>Lane Cove's, a three-year average of births per woman, fell from 1.65 in 2018 to 1.47 in 2023 (1.33 in 2024, a figure understated by registration timing), and every one of the six council areas is lower than in 2018.</t>
        </is>
      </c>
      <c r="D143" s="23" t="n">
        <v>1.33</v>
      </c>
      <c r="E143" s="24">
        <f>'Births and under-fives'!F18</f>
        <v>1.33</v>
      </c>
      <c r="F143" s="13" t="inlineStr">
        <is>
          <t>Births and under-fives, cell F18</t>
        </is>
      </c>
      <c r="G143" s="10" t="inlineStr">
        <is>
          <t>Lane Cove council area: ABS fertility rate, three-year average 2022 to 2024</t>
        </is>
      </c>
    </row>
    <row r="144" ht="42" customHeight="1">
      <c r="A144" s="10" t="n">
        <v>140</v>
      </c>
      <c r="B144" s="10" t="inlineStr">
        <is>
          <t>Body</t>
        </is>
      </c>
      <c r="C144" s="10" t="inlineStr">
        <is>
          <t>Births registered to Lane Cove residents have fallen every year since 2021.</t>
        </is>
      </c>
      <c r="D144" s="10" t="inlineStr">
        <is>
          <t>fallen in every year after 2021 (three of three)</t>
        </is>
      </c>
      <c r="E144" s="12">
        <f>'Births and under-fives'!C34</f>
        <v>3</v>
      </c>
      <c r="F144" s="13" t="inlineStr">
        <is>
          <t>Births and under-fives, cell C34</t>
        </is>
      </c>
      <c r="G144" s="10" t="inlineStr">
        <is>
          <t>Births to Lane Cove residents: count of falls in 2022, 2023 and 2024</t>
        </is>
      </c>
    </row>
    <row r="145" ht="29" customHeight="1">
      <c r="A145" s="10" t="n">
        <v>141</v>
      </c>
      <c r="B145" s="10" t="inlineStr">
        <is>
          <t>Body</t>
        </is>
      </c>
      <c r="C145" s="10" t="inlineStr">
        <is>
          <t>Those children are not yet old enough for school: a child born in 2024 starts kindergarten in 2029 or 2030.</t>
        </is>
      </c>
      <c r="D145" s="10" t="inlineStr">
        <is>
          <t>2029 or 2030</t>
        </is>
      </c>
      <c r="E145" s="19" t="str">
        <f>'Births and under-fives'!E18</f>
        <v>2029 or 2030</v>
      </c>
      <c r="F145" s="13" t="inlineStr">
        <is>
          <t>Births and under-fives, cell E18</t>
        </is>
      </c>
      <c r="G145" s="10" t="inlineStr">
        <is>
          <t>Year + 5 or year + 6</t>
        </is>
      </c>
    </row>
    <row r="146" ht="55" customHeight="1">
      <c r="A146" s="10" t="n">
        <v>142</v>
      </c>
      <c r="B146" s="10" t="inlineStr">
        <is>
          <t>From an earlier draft (now only in this workbook)</t>
        </is>
      </c>
      <c r="C146" s="10" t="inlineStr">
        <is>
          <t>A child born in 2024 starts kindergarten in 2029 or 2030, and children born from 2022 onwards turn five in 2027 or later, so the classrooms have not yet felt this part.</t>
        </is>
      </c>
      <c r="D146" s="10" t="inlineStr">
        <is>
          <t>born from 2022 onwards turn five in 2027 or later</t>
        </is>
      </c>
      <c r="E146" s="19" t="str">
        <f>'Births and under-fives'!E16</f>
        <v>2027 or 2028</v>
      </c>
      <c r="F146" s="13" t="inlineStr">
        <is>
          <t>Births and under-fives, cell E16</t>
        </is>
      </c>
      <c r="G146" s="10" t="inlineStr">
        <is>
          <t>Year + 5 or year + 6</t>
        </is>
      </c>
    </row>
    <row r="147" ht="55" customHeight="1">
      <c r="A147" s="10" t="n">
        <v>143</v>
      </c>
      <c r="B147" s="10" t="inlineStr">
        <is>
          <t>Body</t>
        </is>
      </c>
      <c r="C147" s="10" t="inlineStr">
        <is>
          <t>If the moving and enrolment patterns of the last few years continue, kindergarten at the five schools stays around 395 for the next two years, then falls to about 360 by 2029.</t>
        </is>
      </c>
      <c r="D147" s="10" t="inlineStr">
        <is>
          <t>around 395 (2026)</t>
        </is>
      </c>
      <c r="E147" s="15">
        <f>'Kindergarten projection'!H28</f>
        <v>393</v>
      </c>
      <c r="F147" s="13" t="inlineStr">
        <is>
          <t>Kindergarten projection, cell H28</t>
        </is>
      </c>
      <c r="G147" s="10" t="inlineStr">
        <is>
          <t>Five schools: Lane Cove Public, Lane Cove West, Greenwich, St Michael's and Mowbray: kindergarten at the five schools in 2026 if today's rates hold (average of methods A and B)</t>
        </is>
      </c>
    </row>
    <row r="148" ht="55" customHeight="1">
      <c r="A148" s="10" t="n">
        <v>144</v>
      </c>
      <c r="B148" s="10" t="inlineStr">
        <is>
          <t>Body</t>
        </is>
      </c>
      <c r="C148" s="10" t="inlineStr">
        <is>
          <t>If the moving and enrolment patterns of the last few years continue, kindergarten at the five schools stays around 395 for the next two years, then falls to about 360 by 2029.</t>
        </is>
      </c>
      <c r="D148" s="10" t="inlineStr">
        <is>
          <t>around 395 (2027)</t>
        </is>
      </c>
      <c r="E148" s="15">
        <f>'Kindergarten projection'!H29</f>
        <v>394</v>
      </c>
      <c r="F148" s="13" t="inlineStr">
        <is>
          <t>Kindergarten projection, cell H29</t>
        </is>
      </c>
      <c r="G148" s="10" t="inlineStr">
        <is>
          <t>Five schools: Lane Cove Public, Lane Cove West, Greenwich, St Michael's and Mowbray: kindergarten at the five schools in 2027 if today's rates hold (average of methods A and B)</t>
        </is>
      </c>
    </row>
    <row r="149" ht="55" customHeight="1">
      <c r="A149" s="10" t="n">
        <v>145</v>
      </c>
      <c r="B149" s="10" t="inlineStr">
        <is>
          <t>Body</t>
        </is>
      </c>
      <c r="C149" s="10" t="inlineStr">
        <is>
          <t>If the moving and enrolment patterns of the last few years continue, kindergarten at the five schools stays around 395 for the next two years, then falls to about 360 by 2029.</t>
        </is>
      </c>
      <c r="D149" s="10" t="inlineStr">
        <is>
          <t>about 360 by 2029</t>
        </is>
      </c>
      <c r="E149" s="15">
        <f>'Kindergarten projection'!H31</f>
        <v>359.5</v>
      </c>
      <c r="F149" s="13" t="inlineStr">
        <is>
          <t>Kindergarten projection, cell H31</t>
        </is>
      </c>
      <c r="G149" s="10" t="inlineStr">
        <is>
          <t>Five schools: Lane Cove Public, Lane Cove West, Greenwich, St Michael's and Mowbray: kindergarten at the five schools in 2029 if today's rates hold (average of methods A and B)</t>
        </is>
      </c>
    </row>
    <row r="150" ht="42" customHeight="1">
      <c r="A150" s="10" t="n">
        <v>146</v>
      </c>
      <c r="B150" s="10" t="inlineStr">
        <is>
          <t>Body</t>
        </is>
      </c>
      <c r="C150" s="10" t="inlineStr">
        <is>
          <t>about 90 children aged five to nine live here for every 100 under-fives five years earlier, because more young children move out than in</t>
        </is>
      </c>
      <c r="D150" s="10" t="inlineStr">
        <is>
          <t>about 90 per 100</t>
        </is>
      </c>
      <c r="E150" s="15">
        <f>'Kindergarten projection'!E23</f>
        <v>90.4990550635936</v>
      </c>
      <c r="F150" s="13" t="inlineStr">
        <is>
          <t>Kindergarten projection, cell E23</t>
        </is>
      </c>
      <c r="G150" s="10" t="inlineStr">
        <is>
          <t>Lane Cove council area: stay rate now (2023-25 average) per 100 under-fives five years earlier</t>
        </is>
      </c>
    </row>
    <row r="151" ht="55" customHeight="1">
      <c r="A151" s="10" t="n">
        <v>147</v>
      </c>
      <c r="B151" s="10" t="inlineStr">
        <is>
          <t>Body</t>
        </is>
      </c>
      <c r="C151" s="10" t="inlineStr">
        <is>
          <t>the five schools take 174 kindergarten children for every 1,000 of those five-to-nine-year-olds</t>
        </is>
      </c>
      <c r="D151" s="10" t="inlineStr">
        <is>
          <t>174 per 1,000</t>
        </is>
      </c>
      <c r="E151" s="15">
        <f>'Kindergarten projection'!E19</f>
        <v>174.350159299552</v>
      </c>
      <c r="F151" s="13" t="inlineStr">
        <is>
          <t>Kindergarten projection, cell E19</t>
        </is>
      </c>
      <c r="G151" s="10" t="inlineStr">
        <is>
          <t>Five schools: Lane Cove Public, Lane Cove West, Greenwich, St Michael's and Mowbray: kindergarten starters per 1,000 children aged 5-9, 2023-25 average</t>
        </is>
      </c>
    </row>
    <row r="152" ht="42" customHeight="1">
      <c r="A152" s="10" t="n">
        <v>148</v>
      </c>
      <c r="B152" s="10" t="inlineStr">
        <is>
          <t>Body</t>
        </is>
      </c>
      <c r="C152" s="10" t="inlineStr">
        <is>
          <t>On those assumptions, kindergarten at the five schools stays at about 395 in 2026 and 2027, then falls to about 360 by 2029.</t>
        </is>
      </c>
      <c r="D152" s="10" t="inlineStr">
        <is>
          <t>about 395 (2026)</t>
        </is>
      </c>
      <c r="E152" s="15">
        <f>'Kindergarten projection'!H28</f>
        <v>393</v>
      </c>
      <c r="F152" s="13" t="inlineStr">
        <is>
          <t>Kindergarten projection, cell H28</t>
        </is>
      </c>
      <c r="G152" s="10" t="inlineStr">
        <is>
          <t>Kindergarten at the five schools in 2026 if today's rates hold (average of methods A and B)</t>
        </is>
      </c>
    </row>
    <row r="153" ht="42" customHeight="1">
      <c r="A153" s="10" t="n">
        <v>149</v>
      </c>
      <c r="B153" s="10" t="inlineStr">
        <is>
          <t>Body</t>
        </is>
      </c>
      <c r="C153" s="10" t="inlineStr">
        <is>
          <t>On those assumptions, kindergarten at the five schools stays at about 395 in 2026 and 2027, then falls to about 360 by 2029.</t>
        </is>
      </c>
      <c r="D153" s="10" t="inlineStr">
        <is>
          <t>about 395 (2027)</t>
        </is>
      </c>
      <c r="E153" s="15">
        <f>'Kindergarten projection'!H29</f>
        <v>394</v>
      </c>
      <c r="F153" s="13" t="inlineStr">
        <is>
          <t>Kindergarten projection, cell H29</t>
        </is>
      </c>
      <c r="G153" s="10" t="inlineStr">
        <is>
          <t>Kindergarten at the five schools in 2027 if today's rates hold (average of methods A and B)</t>
        </is>
      </c>
    </row>
    <row r="154" ht="42" customHeight="1">
      <c r="A154" s="10" t="n">
        <v>150</v>
      </c>
      <c r="B154" s="10" t="inlineStr">
        <is>
          <t>Body</t>
        </is>
      </c>
      <c r="C154" s="10" t="inlineStr">
        <is>
          <t>On those assumptions, kindergarten at the five schools stays at about 395 in 2026 and 2027, then falls to about 360 by 2029.</t>
        </is>
      </c>
      <c r="D154" s="10" t="inlineStr">
        <is>
          <t>about 360 (2029)</t>
        </is>
      </c>
      <c r="E154" s="15">
        <f>'Kindergarten projection'!H31</f>
        <v>359.5</v>
      </c>
      <c r="F154" s="13" t="inlineStr">
        <is>
          <t>Kindergarten projection, cell H31</t>
        </is>
      </c>
      <c r="G154" s="10" t="inlineStr">
        <is>
          <t>Kindergarten at the five schools in 2029 if today's rates hold (average of methods A and B)</t>
        </is>
      </c>
    </row>
    <row r="155" ht="55" customHeight="1">
      <c r="A155" s="10" t="n">
        <v>151</v>
      </c>
      <c r="B155" s="10" t="inlineStr">
        <is>
          <t>Body</t>
        </is>
      </c>
      <c r="C155" s="10" t="inlineStr">
        <is>
          <t>This is our arithmetic, not a forecast: the same calculation done in 2020 would have overestimated every kindergarten intake since.</t>
        </is>
      </c>
      <c r="D155" s="10" t="inlineStr">
        <is>
          <t>overestimated every class since (of 5)</t>
        </is>
      </c>
      <c r="E155" s="12">
        <f>'Kindergarten projection'!E41</f>
        <v>5</v>
      </c>
      <c r="F155" s="13" t="inlineStr">
        <is>
          <t>Kindergarten projection, cell E41</t>
        </is>
      </c>
      <c r="G155" s="10" t="inlineStr">
        <is>
          <t>Five schools: Lane Cove Public, Lane Cove West, Greenwich, St Michael's and Mowbray: back-test years 2021-25 in which both methods, run from 2020, overestimated kindergarten</t>
        </is>
      </c>
    </row>
    <row r="156" ht="55" customHeight="1">
      <c r="A156" s="10" t="n">
        <v>152</v>
      </c>
      <c r="B156" s="10" t="inlineStr">
        <is>
          <t>From an earlier draft (now only in this workbook)</t>
        </is>
      </c>
      <c r="C156" s="10" t="inlineStr">
        <is>
          <t>If starters per 1,000 keep falling at their pace since 2016, it would be nearer 310; if they recover at that pace, about 410.</t>
        </is>
      </c>
      <c r="D156" s="10" t="inlineStr">
        <is>
          <t>nearer 310 (2029)</t>
        </is>
      </c>
      <c r="E156" s="12">
        <f>'Kindergarten projection'!I31</f>
        <v>312</v>
      </c>
      <c r="F156" s="13" t="inlineStr">
        <is>
          <t>Kindergarten projection, cell I31</t>
        </is>
      </c>
      <c r="G156" s="10" t="inlineStr">
        <is>
          <t>Five schools: Lane Cove Public, Lane Cove West, Greenwich, St Michael's and Mowbray: lower case for 2029: starters per 1,000 keep falling at their 2016-25 pace</t>
        </is>
      </c>
    </row>
    <row r="157" ht="55" customHeight="1">
      <c r="A157" s="10" t="n">
        <v>153</v>
      </c>
      <c r="B157" s="10" t="inlineStr">
        <is>
          <t>From an earlier draft (now only in this workbook)</t>
        </is>
      </c>
      <c r="C157" s="10" t="inlineStr">
        <is>
          <t>If starters per 1,000 keep falling at their pace since 2016, it would be nearer 310; if they recover at that pace, about 410.</t>
        </is>
      </c>
      <c r="D157" s="10" t="inlineStr">
        <is>
          <t>about 410 (2029)</t>
        </is>
      </c>
      <c r="E157" s="12">
        <f>'Kindergarten projection'!J31</f>
        <v>410</v>
      </c>
      <c r="F157" s="13" t="inlineStr">
        <is>
          <t>Kindergarten projection, cell J31</t>
        </is>
      </c>
      <c r="G157" s="10" t="inlineStr">
        <is>
          <t>Five schools: Lane Cove Public, Lane Cove West, Greenwich, St Michael's and Mowbray: upper case for 2029: starters per 1,000 recover at that pace</t>
        </is>
      </c>
    </row>
    <row r="158" ht="55" customHeight="1">
      <c r="A158" s="10" t="n">
        <v>154</v>
      </c>
      <c r="B158" s="10" t="inlineStr">
        <is>
          <t>Body</t>
        </is>
      </c>
      <c r="C158" s="10" t="inlineStr">
        <is>
          <t>Lane Cove's, a three-year average of births per woman, fell from 1.65 in 2018 to 1.47 in 2023 (1.33 in 2024, a figure understated by registration timing), and every one of the six council areas is lower than in 2018.</t>
        </is>
      </c>
      <c r="D158" s="10" t="inlineStr">
        <is>
          <t>Every one of the six ... lower</t>
        </is>
      </c>
      <c r="E158" s="12">
        <f>'Fertility by council'!B12</f>
        <v>6</v>
      </c>
      <c r="F158" s="13" t="inlineStr">
        <is>
          <t>Fertility by council, cell B12</t>
        </is>
      </c>
      <c r="G158" s="10" t="inlineStr">
        <is>
          <t>Count of 'Yes' in column O</t>
        </is>
      </c>
    </row>
    <row r="159" ht="29" customHeight="1">
      <c r="A159" s="10" t="n">
        <v>155</v>
      </c>
      <c r="B159" s="10" t="inlineStr">
        <is>
          <t>From an earlier draft (now only in this workbook)</t>
        </is>
      </c>
      <c r="C159" s="10" t="inlineStr">
        <is>
          <t>Hunters Hill is highest at 1.48, Lane Cove second at 1.33, and Willoughby lowest at 0.98.</t>
        </is>
      </c>
      <c r="D159" s="10" t="inlineStr">
        <is>
          <t>highest (Hunters Hill)</t>
        </is>
      </c>
      <c r="E159" s="12">
        <f>'Fertility by council'!Q5</f>
        <v>1</v>
      </c>
      <c r="F159" s="13" t="inlineStr">
        <is>
          <t>Fertility by council, cell Q5</t>
        </is>
      </c>
      <c r="G159" s="10" t="inlineStr">
        <is>
          <t>RANK of the 2024 rate among the six</t>
        </is>
      </c>
    </row>
    <row r="160" ht="29" customHeight="1">
      <c r="A160" s="10" t="n">
        <v>156</v>
      </c>
      <c r="B160" s="10" t="inlineStr">
        <is>
          <t>From an earlier draft (now only in this workbook)</t>
        </is>
      </c>
      <c r="C160" s="10" t="inlineStr">
        <is>
          <t>Hunters Hill is highest at 1.48, Lane Cove second at 1.33, and Willoughby lowest at 0.98.</t>
        </is>
      </c>
      <c r="D160" s="23" t="n">
        <v>1.48</v>
      </c>
      <c r="E160" s="24">
        <f>'Fertility by council'!M5</f>
        <v>1.48</v>
      </c>
      <c r="F160" s="13" t="inlineStr">
        <is>
          <t>Fertility by council, cell M5</t>
        </is>
      </c>
      <c r="G160" s="10" t="inlineStr">
        <is>
          <t>Hunters Hill, three-year average 2022 to 2024</t>
        </is>
      </c>
    </row>
    <row r="161" ht="29" customHeight="1">
      <c r="A161" s="10" t="n">
        <v>157</v>
      </c>
      <c r="B161" s="10" t="inlineStr">
        <is>
          <t>From an earlier draft (now only in this workbook)</t>
        </is>
      </c>
      <c r="C161" s="10" t="inlineStr">
        <is>
          <t>Hunters Hill is highest at 1.48, Lane Cove second at 1.33, and Willoughby lowest at 0.98.</t>
        </is>
      </c>
      <c r="D161" s="10" t="inlineStr">
        <is>
          <t>second (Lane Cove)</t>
        </is>
      </c>
      <c r="E161" s="12">
        <f>'Fertility by council'!Q6</f>
        <v>2</v>
      </c>
      <c r="F161" s="13" t="inlineStr">
        <is>
          <t>Fertility by council, cell Q6</t>
        </is>
      </c>
      <c r="G161" s="10" t="inlineStr">
        <is>
          <t>RANK of the 2024 rate among the six</t>
        </is>
      </c>
    </row>
    <row r="162" ht="29" customHeight="1">
      <c r="A162" s="10" t="n">
        <v>158</v>
      </c>
      <c r="B162" s="10" t="inlineStr">
        <is>
          <t>From an earlier draft (now only in this workbook)</t>
        </is>
      </c>
      <c r="C162" s="10" t="inlineStr">
        <is>
          <t>Hunters Hill is highest at 1.48, Lane Cove second at 1.33, and Willoughby lowest at 0.98.</t>
        </is>
      </c>
      <c r="D162" s="23" t="n">
        <v>1.33</v>
      </c>
      <c r="E162" s="24">
        <f>'Fertility by council'!M6</f>
        <v>1.33</v>
      </c>
      <c r="F162" s="13" t="inlineStr">
        <is>
          <t>Fertility by council, cell M6</t>
        </is>
      </c>
      <c r="G162" s="10" t="inlineStr">
        <is>
          <t>Lane Cove, three-year average 2022 to 2024</t>
        </is>
      </c>
    </row>
    <row r="163" ht="29" customHeight="1">
      <c r="A163" s="10" t="n">
        <v>159</v>
      </c>
      <c r="B163" s="10" t="inlineStr">
        <is>
          <t>From an earlier draft (now only in this workbook)</t>
        </is>
      </c>
      <c r="C163" s="10" t="inlineStr">
        <is>
          <t>Hunters Hill is highest at 1.48, Lane Cove second at 1.33, and Willoughby lowest at 0.98.</t>
        </is>
      </c>
      <c r="D163" s="10" t="inlineStr">
        <is>
          <t>lowest (Willoughby)</t>
        </is>
      </c>
      <c r="E163" s="12">
        <f>'Fertility by council'!Q10</f>
        <v>6</v>
      </c>
      <c r="F163" s="13" t="inlineStr">
        <is>
          <t>Fertility by council, cell Q10</t>
        </is>
      </c>
      <c r="G163" s="10" t="inlineStr">
        <is>
          <t>RANK of the 2024 rate among the six</t>
        </is>
      </c>
    </row>
    <row r="164" ht="29" customHeight="1">
      <c r="A164" s="10" t="n">
        <v>160</v>
      </c>
      <c r="B164" s="10" t="inlineStr">
        <is>
          <t>From an earlier draft (now only in this workbook)</t>
        </is>
      </c>
      <c r="C164" s="10" t="inlineStr">
        <is>
          <t>Hunters Hill is highest at 1.48, Lane Cove second at 1.33, and Willoughby lowest at 0.98.</t>
        </is>
      </c>
      <c r="D164" s="23" t="n">
        <v>0.98</v>
      </c>
      <c r="E164" s="24">
        <f>'Fertility by council'!M10</f>
        <v>0.98</v>
      </c>
      <c r="F164" s="13" t="inlineStr">
        <is>
          <t>Fertility by council, cell M10</t>
        </is>
      </c>
      <c r="G164" s="10" t="inlineStr">
        <is>
          <t>Willoughby, three-year average 2022 to 2024</t>
        </is>
      </c>
    </row>
  </sheetData>
  <hyperlinks>
    <hyperlink ref="F5" location="'Kindergarten'!H24"/>
    <hyperlink ref="F6" location="'Kindergarten'!H27"/>
    <hyperlink ref="F7" location="'Kindergarten'!H32"/>
    <hyperlink ref="F8" location="'Kindergarten'!H17"/>
    <hyperlink ref="F9" location="'Kindergarten'!H37"/>
    <hyperlink ref="F10" location="'Kindergarten'!H24"/>
    <hyperlink ref="F11" location="'Kindergarten'!H17"/>
    <hyperlink ref="F12" location="'Kindergarten'!H32"/>
    <hyperlink ref="F13" location="'Kindergarten'!H27"/>
    <hyperlink ref="F14" location="'Kindergarten'!B24"/>
    <hyperlink ref="F15" location="'Kindergarten'!B27"/>
    <hyperlink ref="F16" location="'Kindergarten'!D24"/>
    <hyperlink ref="F17" location="'Kindergarten'!D27"/>
    <hyperlink ref="F18" location="'School totals'!F36"/>
    <hyperlink ref="F19" location="'Births and under-fives'!B14"/>
    <hyperlink ref="F20" location="'Births and under-fives'!B33"/>
    <hyperlink ref="F21" location="'Resident children ratio'!D17"/>
    <hyperlink ref="F22" location="'Resident children ratio'!D16"/>
    <hyperlink ref="F23" location="'Sector kindergarten'!F6"/>
    <hyperlink ref="F24" location="'Sector kindergarten'!F15"/>
    <hyperlink ref="F25" location="'Sector kindergarten'!G21"/>
    <hyperlink ref="F26" location="'Sector kindergarten'!H21"/>
    <hyperlink ref="F27" location="'Births and under-fives'!G13"/>
    <hyperlink ref="F28" location="'Births and under-fives'!G19"/>
    <hyperlink ref="F29" location="'Births and under-fives'!G37"/>
    <hyperlink ref="F30" location="'Kindergarten projection'!H31"/>
    <hyperlink ref="F31" location="'Kindergarten projection'!I31"/>
    <hyperlink ref="F32" location="'Kindergarten projection'!J31"/>
    <hyperlink ref="F33" location="'Births and under-fives'!H19"/>
    <hyperlink ref="F34" location="'Kindergarten'!H24"/>
    <hyperlink ref="F35" location="'Kindergarten'!H32"/>
    <hyperlink ref="F36" location="'Kindergarten'!H27"/>
    <hyperlink ref="F37" location="'Kindergarten'!H34"/>
    <hyperlink ref="F38" location="'Kindergarten'!H33"/>
    <hyperlink ref="F39" location="'Resident children ratio'!C18"/>
    <hyperlink ref="F40" location="'Resident children ratio'!D18"/>
    <hyperlink ref="F41" location="'Resident children ratio'!D18"/>
    <hyperlink ref="F42" location="'School totals'!B30"/>
    <hyperlink ref="F43" location="'School totals'!B24"/>
    <hyperlink ref="F44" location="'School totals'!C31"/>
    <hyperlink ref="F45" location="'School totals'!E31"/>
    <hyperlink ref="F46" location="'School totals'!F32"/>
    <hyperlink ref="F47" location="'Zone changes'!A5"/>
    <hyperlink ref="F48" location="'School totals'!H17"/>
    <hyperlink ref="F49" location="'School totals'!H24"/>
    <hyperlink ref="F50" location="'School totals'!H34"/>
    <hyperlink ref="F51" location="'School totals'!B45"/>
    <hyperlink ref="F52" location="'School totals'!D44"/>
    <hyperlink ref="F53" location="'Births and under-fives'!E32"/>
    <hyperlink ref="F54" location="'Births and under-fives'!E33"/>
    <hyperlink ref="F55" location="'Resident children ratio'!D18"/>
    <hyperlink ref="F56" location="'School totals'!B40"/>
    <hyperlink ref="F57" location="'School totals'!D29"/>
    <hyperlink ref="F58" location="'School totals'!B39"/>
    <hyperlink ref="F59" location="'School totals'!C39"/>
    <hyperlink ref="F60" location="'School totals'!D28"/>
    <hyperlink ref="F61" location="'Kindergarten'!B27"/>
    <hyperlink ref="F62" location="'Kindergarten'!B24"/>
    <hyperlink ref="F63" location="'Kindergarten'!D27"/>
    <hyperlink ref="F64" location="'Kindergarten'!D24"/>
    <hyperlink ref="F65" location="'Kindergarten'!B45"/>
    <hyperlink ref="F66" location="'Kindergarten'!C30"/>
    <hyperlink ref="F67" location="'Kindergarten'!E30"/>
    <hyperlink ref="F68" location="'Kindergarten'!G30"/>
    <hyperlink ref="F69" location="'Kindergarten'!J17"/>
    <hyperlink ref="F70" location="'Kindergarten'!J24"/>
    <hyperlink ref="F71" location="'Kindergarten'!J35"/>
    <hyperlink ref="F72" location="'Kindergarten'!J22"/>
    <hyperlink ref="F73" location="'Kindergarten'!J23"/>
    <hyperlink ref="F74" location="'School figures 2026'!D6"/>
    <hyperlink ref="F75" location="'School figures 2026'!D7"/>
    <hyperlink ref="F76" location="'School figures 2026'!D8"/>
    <hyperlink ref="F77" location="'School figures 2026'!D9"/>
    <hyperlink ref="F78" location="'School figures 2026'!D10"/>
    <hyperlink ref="F79" location="'School figures 2026'!D11"/>
    <hyperlink ref="F80" location="'Nearby public primaries'!B24"/>
    <hyperlink ref="F81" location="'Nearby public primaries'!B25"/>
    <hyperlink ref="F82" location="'Nearby public primaries'!B26"/>
    <hyperlink ref="F83" location="'Nearby public primaries'!R21"/>
    <hyperlink ref="F84" location="'NSW primary enrolments'!B27"/>
    <hyperlink ref="F85" location="'NSW primary enrolments'!B26"/>
    <hyperlink ref="F86" location="'NSW primary enrolments'!B24"/>
    <hyperlink ref="F87" location="'Six councils'!B12"/>
    <hyperlink ref="F88" location="'Births and under-fives'!B12"/>
    <hyperlink ref="F89" location="'Births and under-fives'!B13"/>
    <hyperlink ref="F90" location="'Births and under-fives'!B14"/>
    <hyperlink ref="F91" location="'Births and under-fives'!B32"/>
    <hyperlink ref="F92" location="'Births and under-fives'!B33"/>
    <hyperlink ref="F93" location="'Council-area kindergarten'!B28"/>
    <hyperlink ref="F94" location="'Kindergarten'!E38"/>
    <hyperlink ref="F95" location="'Council-area kindergarten'!F29"/>
    <hyperlink ref="F96" location="'Sector kindergarten'!F6"/>
    <hyperlink ref="F97" location="'Sector kindergarten'!F15"/>
    <hyperlink ref="F98" location="'Sector kindergarten'!G21"/>
    <hyperlink ref="F99" location="'Sector kindergarten'!H21"/>
    <hyperlink ref="F100" location="'Sector kindergarten'!F14"/>
    <hyperlink ref="F101" location="'Census sector shares'!G24"/>
    <hyperlink ref="F102" location="'Census sector shares'!G7"/>
    <hyperlink ref="F103" location="'Moving house'!D31"/>
    <hyperlink ref="F104" location="'Moving house'!D33"/>
    <hyperlink ref="F105" location="'Moving house'!D34"/>
    <hyperlink ref="F106" location="'Moving house'!G33"/>
    <hyperlink ref="F107" location="'Moving house'!G34"/>
    <hyperlink ref="F108" location="'Resident children ratio'!C16"/>
    <hyperlink ref="F109" location="'Resident children ratio'!C17"/>
    <hyperlink ref="F110" location="'Resident children ratio'!B16"/>
    <hyperlink ref="F111" location="'Resident children ratio'!B17"/>
    <hyperlink ref="F112" location="'Resident children ratio'!D16"/>
    <hyperlink ref="F113" location="'Resident children ratio'!D17"/>
    <hyperlink ref="F114" location="'Resident children ratio'!D18"/>
    <hyperlink ref="F115" location="'Resident children ratio'!K16"/>
    <hyperlink ref="F116" location="'Resident children ratio'!K17"/>
    <hyperlink ref="F117" location="'Resident children ratio'!N16"/>
    <hyperlink ref="F118" location="'Resident children ratio'!N17"/>
    <hyperlink ref="F119" location="'Resident children ratio'!D22"/>
    <hyperlink ref="F120" location="'Mowbray and the boundary'!D13"/>
    <hyperlink ref="F121" location="'Mowbray and the boundary'!D14"/>
    <hyperlink ref="F122" location="'Mowbray and the boundary'!G44"/>
    <hyperlink ref="F123" location="'Mowbray and the boundary'!D54"/>
    <hyperlink ref="F124" location="'Mowbray and the boundary'!E54"/>
    <hyperlink ref="F125" location="'Resident children ratio'!D18"/>
    <hyperlink ref="F126" location="'Enrolment caps'!E10"/>
    <hyperlink ref="F127" location="'Enrolment caps'!I14"/>
    <hyperlink ref="F128" location="'Enrolment caps'!G7"/>
    <hyperlink ref="F129" location="'Enrolment caps'!H20"/>
    <hyperlink ref="F130" location="'Enrolment caps'!H22"/>
    <hyperlink ref="F131" location="'Enrolment caps'!J6"/>
    <hyperlink ref="F132" location="'Births and under-fives'!H19"/>
    <hyperlink ref="F133" location="'Births and under-fives'!I19"/>
    <hyperlink ref="F134" location="'Births and under-fives'!G19"/>
    <hyperlink ref="F135" location="'Births and under-fives'!H23"/>
    <hyperlink ref="F136" location="'Births and under-fives'!B12"/>
    <hyperlink ref="F137" location="'Births and under-fives'!B18"/>
    <hyperlink ref="F138" location="'Births and under-fives'!G13"/>
    <hyperlink ref="F139" location="'Births and under-fives'!G37"/>
    <hyperlink ref="F140" location="'Births and under-fives'!G19"/>
    <hyperlink ref="F141" location="'Births and under-fives'!F12"/>
    <hyperlink ref="F142" location="'Births and under-fives'!F17"/>
    <hyperlink ref="F143" location="'Births and under-fives'!F18"/>
    <hyperlink ref="F144" location="'Births and under-fives'!C34"/>
    <hyperlink ref="F145" location="'Births and under-fives'!E18"/>
    <hyperlink ref="F146" location="'Births and under-fives'!E16"/>
    <hyperlink ref="F147" location="'Kindergarten projection'!H28"/>
    <hyperlink ref="F148" location="'Kindergarten projection'!H29"/>
    <hyperlink ref="F149" location="'Kindergarten projection'!H31"/>
    <hyperlink ref="F150" location="'Kindergarten projection'!E23"/>
    <hyperlink ref="F151" location="'Kindergarten projection'!E19"/>
    <hyperlink ref="F152" location="'Kindergarten projection'!H28"/>
    <hyperlink ref="F153" location="'Kindergarten projection'!H29"/>
    <hyperlink ref="F154" location="'Kindergarten projection'!H31"/>
    <hyperlink ref="F155" location="'Kindergarten projection'!E41"/>
    <hyperlink ref="F156" location="'Kindergarten projection'!I31"/>
    <hyperlink ref="F157" location="'Kindergarten projection'!J31"/>
    <hyperlink ref="F158" location="'Fertility by council'!B12"/>
    <hyperlink ref="F159" location="'Fertility by council'!Q5"/>
    <hyperlink ref="F160" location="'Fertility by council'!M5"/>
    <hyperlink ref="F161" location="'Fertility by council'!Q6"/>
    <hyperlink ref="F162" location="'Fertility by council'!M6"/>
    <hyperlink ref="F163" location="'Fertility by council'!Q10"/>
    <hyperlink ref="F164" location="'Fertility by council'!M10"/>
  </hyperlinks>
  <printOptions gridLines="0"/>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J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5" customWidth="1" min="5" max="5"/>
    <col width="14" customWidth="1" min="6" max="6"/>
    <col width="14" customWidth="1" min="7" max="7"/>
    <col width="17" customWidth="1" min="8" max="8"/>
    <col width="3" customWidth="1" min="9" max="9"/>
    <col width="95" customWidth="1" min="10" max="10"/>
  </cols>
  <sheetData>
    <row r="1">
      <c r="A1" s="7" t="inlineStr">
        <is>
          <t>Total enrolments at the six schools, 2009 to 2025</t>
        </is>
      </c>
    </row>
    <row r="2">
      <c r="A2" s="25" t="inlineStr">
        <is>
          <t>Headcount, all year levels including support classes, August census. ACARA, keyed on school ID.</t>
        </is>
      </c>
    </row>
    <row r="3"/>
    <row r="4" ht="42" customHeight="1">
      <c r="A4" s="26" t="inlineStr">
        <is>
          <t>Year</t>
        </is>
      </c>
      <c r="B4" s="26" t="inlineStr">
        <is>
          <t>Lane Cove Public</t>
        </is>
      </c>
      <c r="C4" s="26" t="inlineStr">
        <is>
          <t>Lane Cove West Public</t>
        </is>
      </c>
      <c r="D4" s="26" t="inlineStr">
        <is>
          <t>Greenwich Public</t>
        </is>
      </c>
      <c r="E4" s="26" t="inlineStr">
        <is>
          <t>St Michael's Catholic Primary</t>
        </is>
      </c>
      <c r="F4" s="26" t="inlineStr">
        <is>
          <t>Mowbray Public</t>
        </is>
      </c>
      <c r="G4" s="26" t="inlineStr">
        <is>
          <t>Chatswood Public</t>
        </is>
      </c>
      <c r="H4" s="26" t="inlineStr">
        <is>
          <t>Four schools inside Lane Cove council area</t>
        </is>
      </c>
      <c r="J4" s="27" t="inlineStr">
        <is>
          <t>In the article</t>
        </is>
      </c>
    </row>
    <row r="5">
      <c r="A5" s="28" t="inlineStr">
        <is>
          <t>ACARA school ID</t>
        </is>
      </c>
      <c r="B5" s="29" t="n">
        <v>41221</v>
      </c>
      <c r="C5" s="29" t="n">
        <v>41260</v>
      </c>
      <c r="D5" s="29" t="n">
        <v>41216</v>
      </c>
      <c r="E5" s="29" t="n">
        <v>43419</v>
      </c>
      <c r="F5" s="29" t="n">
        <v>41271</v>
      </c>
      <c r="G5" s="29" t="n">
        <v>41316</v>
      </c>
      <c r="H5" s="28" t="inlineStr"/>
      <c r="J5" s="30" t="inlineStr">
        <is>
          <t>“Enrolment figures for earlier years, for every school, are in our data spreadsheet.”</t>
        </is>
      </c>
    </row>
    <row r="6">
      <c r="A6" s="28" t="inlineStr">
        <is>
          <t>Council area</t>
        </is>
      </c>
      <c r="B6" s="28" t="inlineStr">
        <is>
          <t>Lane Cove</t>
        </is>
      </c>
      <c r="C6" s="28" t="inlineStr">
        <is>
          <t>Lane Cove</t>
        </is>
      </c>
      <c r="D6" s="28" t="inlineStr">
        <is>
          <t>Lane Cove</t>
        </is>
      </c>
      <c r="E6" s="28" t="inlineStr">
        <is>
          <t>Lane Cove</t>
        </is>
      </c>
      <c r="F6" s="28" t="inlineStr">
        <is>
          <t>Willoughby</t>
        </is>
      </c>
      <c r="G6" s="28" t="inlineStr">
        <is>
          <t>Willoughby</t>
        </is>
      </c>
      <c r="H6" s="28" t="inlineStr">
        <is>
          <t>Lane Cove</t>
        </is>
      </c>
    </row>
    <row r="7">
      <c r="A7" s="28" t="inlineStr">
        <is>
          <t>Sector</t>
        </is>
      </c>
      <c r="B7" s="28" t="inlineStr">
        <is>
          <t>Government</t>
        </is>
      </c>
      <c r="C7" s="28" t="inlineStr">
        <is>
          <t>Government</t>
        </is>
      </c>
      <c r="D7" s="28" t="inlineStr">
        <is>
          <t>Government</t>
        </is>
      </c>
      <c r="E7" s="28" t="inlineStr">
        <is>
          <t>Catholic</t>
        </is>
      </c>
      <c r="F7" s="28" t="inlineStr">
        <is>
          <t>Government</t>
        </is>
      </c>
      <c r="G7" s="28" t="inlineStr">
        <is>
          <t>Government</t>
        </is>
      </c>
      <c r="H7" s="28" t="inlineStr"/>
      <c r="J7" s="30" t="inlineStr">
        <is>
          <t>“One exception: Mowbray, just over the boundary, where total enrolment is at a new high.”</t>
        </is>
      </c>
    </row>
    <row r="8">
      <c r="A8" s="31" t="n">
        <v>2009</v>
      </c>
      <c r="B8" s="32" t="n">
        <v>810</v>
      </c>
      <c r="C8" s="32" t="n">
        <v>379</v>
      </c>
      <c r="D8" s="32" t="n">
        <v>372</v>
      </c>
      <c r="E8" s="32" t="n">
        <v>541</v>
      </c>
      <c r="F8" s="32" t="n">
        <v>263</v>
      </c>
      <c r="G8" s="32" t="n">
        <v>702</v>
      </c>
      <c r="H8" s="33">
        <f>SUM(B8:E8)</f>
        <v>2102</v>
      </c>
    </row>
    <row r="9">
      <c r="A9" s="31" t="n">
        <v>2010</v>
      </c>
      <c r="B9" s="32" t="n">
        <v>805</v>
      </c>
      <c r="C9" s="32" t="n">
        <v>435</v>
      </c>
      <c r="D9" s="32" t="n">
        <v>415</v>
      </c>
      <c r="E9" s="32" t="n">
        <v>545</v>
      </c>
      <c r="F9" s="32" t="n">
        <v>304</v>
      </c>
      <c r="G9" s="32" t="n">
        <v>730</v>
      </c>
      <c r="H9" s="33">
        <f>SUM(B9:E9)</f>
        <v>2200</v>
      </c>
      <c r="J9" s="30" t="inlineStr">
        <is>
          <t>From an earlier draft of the article, now only in this workbook: “Lane Cove Public dropped below 700 for the first time in the series.”</t>
        </is>
      </c>
    </row>
    <row r="10">
      <c r="A10" s="31" t="n">
        <v>2011</v>
      </c>
      <c r="B10" s="32" t="n">
        <v>809</v>
      </c>
      <c r="C10" s="32" t="n">
        <v>485</v>
      </c>
      <c r="D10" s="32" t="n">
        <v>401</v>
      </c>
      <c r="E10" s="32" t="n">
        <v>535</v>
      </c>
      <c r="F10" s="32" t="n">
        <v>322</v>
      </c>
      <c r="G10" s="32" t="n">
        <v>787</v>
      </c>
      <c r="H10" s="33">
        <f>SUM(B10:E10)</f>
        <v>2230</v>
      </c>
    </row>
    <row r="11">
      <c r="A11" s="31" t="n">
        <v>2012</v>
      </c>
      <c r="B11" s="32" t="n">
        <v>804</v>
      </c>
      <c r="C11" s="32" t="n">
        <v>540</v>
      </c>
      <c r="D11" s="32" t="n">
        <v>433</v>
      </c>
      <c r="E11" s="32" t="n">
        <v>547</v>
      </c>
      <c r="F11" s="32" t="n">
        <v>325</v>
      </c>
      <c r="G11" s="32" t="n">
        <v>853</v>
      </c>
      <c r="H11" s="33">
        <f>SUM(B11:E11)</f>
        <v>2324</v>
      </c>
    </row>
    <row r="12">
      <c r="A12" s="31" t="n">
        <v>2013</v>
      </c>
      <c r="B12" s="32" t="n">
        <v>805</v>
      </c>
      <c r="C12" s="32" t="n">
        <v>567</v>
      </c>
      <c r="D12" s="32" t="n">
        <v>488</v>
      </c>
      <c r="E12" s="32" t="n">
        <v>556</v>
      </c>
      <c r="F12" s="32" t="n">
        <v>354</v>
      </c>
      <c r="G12" s="32" t="n">
        <v>914</v>
      </c>
      <c r="H12" s="33">
        <f>SUM(B12:E12)</f>
        <v>2416</v>
      </c>
      <c r="J12" s="30" t="inlineStr">
        <is>
          <t>From an earlier draft of the article, now only in this workbook: “Lane Cove West is at its lowest since 2010, and St Michael's at its lowest in the series.”</t>
        </is>
      </c>
    </row>
    <row r="13">
      <c r="A13" s="31" t="n">
        <v>2014</v>
      </c>
      <c r="B13" s="32" t="n">
        <v>824</v>
      </c>
      <c r="C13" s="32" t="n">
        <v>576</v>
      </c>
      <c r="D13" s="32" t="n">
        <v>484</v>
      </c>
      <c r="E13" s="32" t="n">
        <v>543</v>
      </c>
      <c r="F13" s="32" t="n">
        <v>378</v>
      </c>
      <c r="G13" s="32" t="n">
        <v>957</v>
      </c>
      <c r="H13" s="33">
        <f>SUM(B13:E13)</f>
        <v>2427</v>
      </c>
    </row>
    <row r="14">
      <c r="A14" s="31" t="n">
        <v>2015</v>
      </c>
      <c r="B14" s="32" t="n">
        <v>812</v>
      </c>
      <c r="C14" s="32" t="n">
        <v>595</v>
      </c>
      <c r="D14" s="32" t="n">
        <v>496</v>
      </c>
      <c r="E14" s="32" t="n">
        <v>543</v>
      </c>
      <c r="F14" s="32" t="n">
        <v>377</v>
      </c>
      <c r="G14" s="32" t="n">
        <v>1072</v>
      </c>
      <c r="H14" s="33">
        <f>SUM(B14:E14)</f>
        <v>2446</v>
      </c>
    </row>
    <row r="15">
      <c r="A15" s="31" t="n">
        <v>2016</v>
      </c>
      <c r="B15" s="32" t="n">
        <v>840</v>
      </c>
      <c r="C15" s="32" t="n">
        <v>579</v>
      </c>
      <c r="D15" s="32" t="n">
        <v>495</v>
      </c>
      <c r="E15" s="32" t="n">
        <v>544</v>
      </c>
      <c r="F15" s="32" t="n">
        <v>437</v>
      </c>
      <c r="G15" s="32" t="n">
        <v>1180</v>
      </c>
      <c r="H15" s="33">
        <f>SUM(B15:E15)</f>
        <v>2458</v>
      </c>
      <c r="J15" s="30" t="inlineStr">
        <is>
          <t>“The exception is Mowbray Public School, which has grown every year from 2016.”</t>
        </is>
      </c>
    </row>
    <row r="16">
      <c r="A16" s="31" t="n">
        <v>2017</v>
      </c>
      <c r="B16" s="32" t="n">
        <v>849</v>
      </c>
      <c r="C16" s="32" t="n">
        <v>588</v>
      </c>
      <c r="D16" s="32" t="n">
        <v>483</v>
      </c>
      <c r="E16" s="32" t="n">
        <v>544</v>
      </c>
      <c r="F16" s="32" t="n">
        <v>526</v>
      </c>
      <c r="G16" s="32" t="n">
        <v>1250</v>
      </c>
      <c r="H16" s="33">
        <f>SUM(B16:E16)</f>
        <v>2464</v>
      </c>
    </row>
    <row r="17">
      <c r="A17" s="31" t="n">
        <v>2018</v>
      </c>
      <c r="B17" s="32" t="n">
        <v>881</v>
      </c>
      <c r="C17" s="32" t="n">
        <v>589</v>
      </c>
      <c r="D17" s="32" t="n">
        <v>490</v>
      </c>
      <c r="E17" s="32" t="n">
        <v>534</v>
      </c>
      <c r="F17" s="32" t="n">
        <v>595</v>
      </c>
      <c r="G17" s="32" t="n">
        <v>1291</v>
      </c>
      <c r="H17" s="33">
        <f>SUM(B17:E17)</f>
        <v>2494</v>
      </c>
      <c r="J17" s="30" t="inlineStr">
        <is>
          <t>“Taken together, the four schools inside the Lane Cove LGA (Lane Cove Public, Lane Cove West, Greenwich and St Michael's) had 2,494 students in 2018 and 2,031 in 2025, close to one in five fewer.”</t>
        </is>
      </c>
    </row>
    <row r="18">
      <c r="A18" s="31" t="n">
        <v>2019</v>
      </c>
      <c r="B18" s="32" t="n">
        <v>867</v>
      </c>
      <c r="C18" s="32" t="n">
        <v>613</v>
      </c>
      <c r="D18" s="32" t="n">
        <v>487</v>
      </c>
      <c r="E18" s="32" t="n">
        <v>522</v>
      </c>
      <c r="F18" s="32" t="n">
        <v>636</v>
      </c>
      <c r="G18" s="32" t="n">
        <v>1315</v>
      </c>
      <c r="H18" s="33">
        <f>SUM(B18:E18)</f>
        <v>2489</v>
      </c>
    </row>
    <row r="19">
      <c r="A19" s="31" t="n">
        <v>2020</v>
      </c>
      <c r="B19" s="32" t="n">
        <v>826</v>
      </c>
      <c r="C19" s="32" t="n">
        <v>605</v>
      </c>
      <c r="D19" s="32" t="n">
        <v>466</v>
      </c>
      <c r="E19" s="32" t="n">
        <v>511</v>
      </c>
      <c r="F19" s="32" t="n">
        <v>642</v>
      </c>
      <c r="G19" s="32" t="n">
        <v>1343</v>
      </c>
      <c r="H19" s="33">
        <f>SUM(B19:E19)</f>
        <v>2408</v>
      </c>
    </row>
    <row r="20">
      <c r="A20" s="31" t="n">
        <v>2021</v>
      </c>
      <c r="B20" s="32" t="n">
        <v>801</v>
      </c>
      <c r="C20" s="32" t="n">
        <v>569</v>
      </c>
      <c r="D20" s="32" t="n">
        <v>478</v>
      </c>
      <c r="E20" s="32" t="n">
        <v>540</v>
      </c>
      <c r="F20" s="32" t="n">
        <v>656</v>
      </c>
      <c r="G20" s="32" t="n">
        <v>1216</v>
      </c>
      <c r="H20" s="33">
        <f>SUM(B20:E20)</f>
        <v>2388</v>
      </c>
    </row>
    <row r="21">
      <c r="A21" s="31" t="n">
        <v>2022</v>
      </c>
      <c r="B21" s="32" t="n">
        <v>769</v>
      </c>
      <c r="C21" s="32" t="n">
        <v>531</v>
      </c>
      <c r="D21" s="32" t="n">
        <v>470</v>
      </c>
      <c r="E21" s="32" t="n">
        <v>528</v>
      </c>
      <c r="F21" s="32" t="n">
        <v>674</v>
      </c>
      <c r="G21" s="32" t="n">
        <v>1142</v>
      </c>
      <c r="H21" s="33">
        <f>SUM(B21:E21)</f>
        <v>2298</v>
      </c>
      <c r="J21" s="30" t="inlineStr">
        <is>
          <t>“Our investigation found that every primary school inside the Lane Cove LGA had fewer students in 2025 than in 2018: close to one in five fewer in total.”</t>
        </is>
      </c>
    </row>
    <row r="22">
      <c r="A22" s="31" t="n">
        <v>2023</v>
      </c>
      <c r="B22" s="32" t="n">
        <v>731</v>
      </c>
      <c r="C22" s="32" t="n">
        <v>514</v>
      </c>
      <c r="D22" s="32" t="n">
        <v>454</v>
      </c>
      <c r="E22" s="32" t="n">
        <v>527</v>
      </c>
      <c r="F22" s="32" t="n">
        <v>698</v>
      </c>
      <c r="G22" s="32" t="n">
        <v>1132</v>
      </c>
      <c r="H22" s="33">
        <f>SUM(B22:E22)</f>
        <v>2226</v>
      </c>
    </row>
    <row r="23">
      <c r="A23" s="31" t="n">
        <v>2024</v>
      </c>
      <c r="B23" s="32" t="n">
        <v>734</v>
      </c>
      <c r="C23" s="32" t="n">
        <v>483</v>
      </c>
      <c r="D23" s="32" t="n">
        <v>428</v>
      </c>
      <c r="E23" s="32" t="n">
        <v>520</v>
      </c>
      <c r="F23" s="32" t="n">
        <v>700</v>
      </c>
      <c r="G23" s="32" t="n">
        <v>1116</v>
      </c>
      <c r="H23" s="33">
        <f>SUM(B23:E23)</f>
        <v>2165</v>
      </c>
    </row>
    <row r="24">
      <c r="A24" s="31" t="n">
        <v>2025</v>
      </c>
      <c r="B24" s="32" t="n">
        <v>688</v>
      </c>
      <c r="C24" s="32" t="n">
        <v>474</v>
      </c>
      <c r="D24" s="32" t="n">
        <v>367</v>
      </c>
      <c r="E24" s="32" t="n">
        <v>502</v>
      </c>
      <c r="F24" s="32" t="n">
        <v>714</v>
      </c>
      <c r="G24" s="32" t="n">
        <v>1083</v>
      </c>
      <c r="H24" s="33">
        <f>SUM(B24:E24)</f>
        <v>2031</v>
      </c>
      <c r="J24" s="30" t="inlineStr">
        <is>
          <t>“Five of the six schools in the chart are smaller than in 2018.”</t>
        </is>
      </c>
    </row>
    <row r="25"/>
    <row r="26">
      <c r="A26" s="34" t="inlineStr">
        <is>
          <t>Highest, 2014 to 2025</t>
        </is>
      </c>
      <c r="B26" s="33">
        <f>MAX(B13:B24)</f>
        <v>881</v>
      </c>
      <c r="C26" s="33">
        <f>MAX(C13:C24)</f>
        <v>613</v>
      </c>
      <c r="D26" s="33">
        <f>MAX(D13:D24)</f>
        <v>496</v>
      </c>
      <c r="E26" s="33">
        <f>MAX(E13:E24)</f>
        <v>544</v>
      </c>
      <c r="F26" s="33">
        <f>MAX(F13:F24)</f>
        <v>714</v>
      </c>
      <c r="G26" s="33">
        <f>MAX(G13:G24)</f>
        <v>1343</v>
      </c>
      <c r="H26" s="33">
        <f>MAX(H13:H24)</f>
        <v>2494</v>
      </c>
      <c r="J26" s="30" t="inlineStr">
        <is>
          <t>From an earlier draft of the article, now only in this workbook: “Greenwich had 61 fewer students in 2025 than in 2024, the steepest fall of the six that year, and is now 26% below its peak.”</t>
        </is>
      </c>
    </row>
    <row r="27">
      <c r="A27" s="34" t="inlineStr">
        <is>
          <t>Year(s) of that high</t>
        </is>
      </c>
      <c r="B27" s="35" t="n">
        <v>2018</v>
      </c>
      <c r="C27" s="35" t="n">
        <v>2019</v>
      </c>
      <c r="D27" s="35" t="n">
        <v>2015</v>
      </c>
      <c r="E27" s="36" t="inlineStr">
        <is>
          <t>2016, 2017</t>
        </is>
      </c>
      <c r="F27" s="35" t="n">
        <v>2025</v>
      </c>
      <c r="G27" s="35" t="n">
        <v>2020</v>
      </c>
      <c r="H27" s="35" t="n">
        <v>2018</v>
      </c>
    </row>
    <row r="28">
      <c r="A28" s="34" t="inlineStr">
        <is>
          <t>2025 against that high</t>
        </is>
      </c>
      <c r="B28" s="37">
        <f>B24/B26-1</f>
        <v>-0.219069239500568</v>
      </c>
      <c r="C28" s="37">
        <f>C24/C26-1</f>
        <v>-0.226753670473083</v>
      </c>
      <c r="D28" s="37">
        <f>D24/D26-1</f>
        <v>-0.26008064516129</v>
      </c>
      <c r="E28" s="37">
        <f>E24/E26-1</f>
        <v>-0.0772058823529411</v>
      </c>
      <c r="F28" s="37">
        <f>F24/F26-1</f>
        <v>0</v>
      </c>
      <c r="G28" s="37">
        <f>G24/G26-1</f>
        <v>-0.193596425912137</v>
      </c>
      <c r="H28" s="37">
        <f>H24/H26-1</f>
        <v>-0.185645549318364</v>
      </c>
    </row>
    <row r="29">
      <c r="A29" s="34" t="inlineStr">
        <is>
          <t>Change, 2024 to 2025</t>
        </is>
      </c>
      <c r="B29" s="38">
        <f>B24-B23</f>
        <v>-46</v>
      </c>
      <c r="C29" s="38">
        <f>C24-C23</f>
        <v>-9</v>
      </c>
      <c r="D29" s="38">
        <f>D24-D23</f>
        <v>-61</v>
      </c>
      <c r="E29" s="38">
        <f>E24-E23</f>
        <v>-18</v>
      </c>
      <c r="F29" s="38">
        <f>F24-F23</f>
        <v>14</v>
      </c>
      <c r="G29" s="38">
        <f>G24-G23</f>
        <v>-33</v>
      </c>
      <c r="H29" s="38">
        <f>H24-H23</f>
        <v>-134</v>
      </c>
    </row>
    <row r="30">
      <c r="A30" s="34" t="inlineStr">
        <is>
          <t>Lowest, 2009 to 2024</t>
        </is>
      </c>
      <c r="B30" s="33">
        <f>MIN(B8:B23)</f>
        <v>731</v>
      </c>
      <c r="C30" s="33">
        <f>MIN(C8:C23)</f>
        <v>379</v>
      </c>
      <c r="D30" s="33">
        <f>MIN(D8:D23)</f>
        <v>372</v>
      </c>
      <c r="E30" s="33">
        <f>MIN(E8:E23)</f>
        <v>511</v>
      </c>
      <c r="F30" s="33">
        <f>MIN(F8:F23)</f>
        <v>263</v>
      </c>
      <c r="G30" s="33">
        <f>MIN(G8:G23)</f>
        <v>702</v>
      </c>
      <c r="H30" s="33">
        <f>MIN(H8:H23)</f>
        <v>2102</v>
      </c>
      <c r="J30" s="3" t="inlineStr">
        <is>
          <t>The article's chart under “What changed in a year?” (chart V1) shows each school's 2018 and 2025 totals, its peak since 2014 and 2025 against the peak, from this sheet: 2018 in row 17, 2025 in row 24; the peak, its year and 2025 against the peak in rows 26 to 28.</t>
        </is>
      </c>
    </row>
    <row r="31" ht="28.5" customHeight="1">
      <c r="A31" s="34" t="inlineStr">
        <is>
          <t>Most recent year before 2025 with a lower total</t>
        </is>
      </c>
      <c r="B31" s="39">
        <f>SUMPRODUCT(MAX((B8:B23&lt;B24)*$A$8:$A$23))</f>
        <v>0</v>
      </c>
      <c r="C31" s="39">
        <f>SUMPRODUCT(MAX((C8:C23&lt;C24)*$A$8:$A$23))</f>
        <v>2010</v>
      </c>
      <c r="D31" s="39">
        <f>SUMPRODUCT(MAX((D8:D23&lt;D24)*$A$8:$A$23))</f>
        <v>0</v>
      </c>
      <c r="E31" s="39">
        <f>SUMPRODUCT(MAX((E8:E23&lt;E24)*$A$8:$A$23))</f>
        <v>0</v>
      </c>
      <c r="F31" s="39">
        <f>SUMPRODUCT(MAX((F8:F23&lt;F24)*$A$8:$A$23))</f>
        <v>2024</v>
      </c>
      <c r="G31" s="39">
        <f>SUMPRODUCT(MAX((G8:G23&lt;G24)*$A$8:$A$23))</f>
        <v>2015</v>
      </c>
      <c r="H31" s="39">
        <f>SUMPRODUCT(MAX((H8:H23&lt;H24)*$A$8:$A$23))</f>
        <v>0</v>
      </c>
    </row>
    <row r="32" ht="28.5" customHeight="1">
      <c r="A32" s="34" t="inlineStr">
        <is>
          <t>Years from 2016 to 2025 with a rise on the year before</t>
        </is>
      </c>
      <c r="B32" s="33">
        <f>SUMPRODUCT(--(B15:B24&gt;B14:B23))</f>
        <v>4</v>
      </c>
      <c r="C32" s="33">
        <f>SUMPRODUCT(--(C15:C24&gt;C14:C23))</f>
        <v>3</v>
      </c>
      <c r="D32" s="33">
        <f>SUMPRODUCT(--(D15:D24&gt;D14:D23))</f>
        <v>2</v>
      </c>
      <c r="E32" s="33">
        <f>SUMPRODUCT(--(E15:E24&gt;E14:E23))</f>
        <v>2</v>
      </c>
      <c r="F32" s="33">
        <f>SUMPRODUCT(--(F15:F24&gt;F14:F23))</f>
        <v>10</v>
      </c>
      <c r="G32" s="33">
        <f>SUMPRODUCT(--(G15:G24&gt;G14:G23))</f>
        <v>5</v>
      </c>
      <c r="H32" s="33">
        <f>SUMPRODUCT(--(H15:H24&gt;H14:H23))</f>
        <v>3</v>
      </c>
    </row>
    <row r="33">
      <c r="A33" s="34" t="inlineStr">
        <is>
          <t>Change, 2018 to 2025</t>
        </is>
      </c>
      <c r="B33" s="38">
        <f>B24-B17</f>
        <v>-193</v>
      </c>
      <c r="C33" s="38">
        <f>C24-C17</f>
        <v>-115</v>
      </c>
      <c r="D33" s="38">
        <f>D24-D17</f>
        <v>-123</v>
      </c>
      <c r="E33" s="38">
        <f>E24-E17</f>
        <v>-32</v>
      </c>
      <c r="F33" s="38">
        <f>F24-F17</f>
        <v>119</v>
      </c>
      <c r="G33" s="38">
        <f>G24-G17</f>
        <v>-208</v>
      </c>
      <c r="H33" s="38">
        <f>H24-H17</f>
        <v>-463</v>
      </c>
    </row>
    <row r="34" ht="28.5" customHeight="1">
      <c r="A34" s="34" t="inlineStr">
        <is>
          <t>Change, 2018 to 2025 (%; four schools, column H)</t>
        </is>
      </c>
      <c r="H34" s="37">
        <f>H24/H17-1</f>
        <v>-0.185645549318364</v>
      </c>
      <c r="J34" s="27" t="inlineStr">
        <is>
          <t>How the figures are worked out</t>
        </is>
      </c>
    </row>
    <row r="35" ht="28.5" customHeight="1">
      <c r="A35" s="34" t="inlineStr">
        <is>
          <t>Highest, 2009 to 2025 (whole series)</t>
        </is>
      </c>
      <c r="B35" s="33">
        <f>MAX(B8:B24)</f>
        <v>881</v>
      </c>
      <c r="C35" s="33">
        <f>MAX(C8:C24)</f>
        <v>613</v>
      </c>
      <c r="D35" s="33">
        <f>MAX(D8:D24)</f>
        <v>496</v>
      </c>
      <c r="E35" s="33">
        <f>MAX(E8:E24)</f>
        <v>556</v>
      </c>
      <c r="F35" s="33">
        <f>MAX(F8:F24)</f>
        <v>714</v>
      </c>
      <c r="G35" s="33">
        <f>MAX(G8:G24)</f>
        <v>1343</v>
      </c>
      <c r="H35" s="33">
        <f>MAX(H8:H24)</f>
        <v>2494</v>
      </c>
      <c r="J35" s="4" t="inlineStr">
        <is>
          <t>Totals are ACARA headcounts for all year levels, including support classes, from the August census. Each school is matched on its ACARA school ID, and the year is ACARA's Calendar Year.</t>
        </is>
      </c>
    </row>
    <row r="36" ht="28.5" customHeight="1">
      <c r="A36" s="34" t="inlineStr">
        <is>
          <t>Year of that high (whole series)</t>
        </is>
      </c>
      <c r="B36" s="40">
        <f>INDEX($A$8:$A$24,MATCH(B35,B8:B24,0))</f>
        <v>2018</v>
      </c>
      <c r="C36" s="40">
        <f>INDEX($A$8:$A$24,MATCH(C35,C8:C24,0))</f>
        <v>2019</v>
      </c>
      <c r="D36" s="40">
        <f>INDEX($A$8:$A$24,MATCH(D35,D8:D24,0))</f>
        <v>2015</v>
      </c>
      <c r="E36" s="40">
        <f>INDEX($A$8:$A$24,MATCH(E35,E8:E24,0))</f>
        <v>2013</v>
      </c>
      <c r="F36" s="40">
        <f>INDEX($A$8:$A$24,MATCH(F35,F8:F24,0))</f>
        <v>2025</v>
      </c>
      <c r="G36" s="40">
        <f>INDEX($A$8:$A$24,MATCH(G35,G8:G24,0))</f>
        <v>2020</v>
      </c>
      <c r="H36" s="40">
        <f>INDEX($A$8:$A$24,MATCH(H35,H8:H24,0))</f>
        <v>2018</v>
      </c>
    </row>
    <row r="37"/>
    <row r="38">
      <c r="A38" s="26" t="inlineStr">
        <is>
          <t>Across the six schools</t>
        </is>
      </c>
      <c r="B38" s="26" t="inlineStr">
        <is>
          <t>Result</t>
        </is>
      </c>
      <c r="C38" s="26" t="inlineStr">
        <is>
          <t>School</t>
        </is>
      </c>
    </row>
    <row r="39">
      <c r="A39" s="34" t="inlineStr">
        <is>
          <t>Steepest fall, 2024 to 2025</t>
        </is>
      </c>
      <c r="B39" s="38">
        <f>MIN(B29:G29)</f>
        <v>-61</v>
      </c>
      <c r="C39" s="41" t="str">
        <f>INDEX($B$4:$G$4,MATCH(B39,$B$29:$G$29,0))</f>
        <v>Greenwich Public</v>
      </c>
      <c r="J39" s="4" t="inlineStr">
        <is>
          <t>The government schools' totals match the NSW Department of Education August headcount in every year (see the Department cross-check sheet).</t>
        </is>
      </c>
    </row>
    <row r="40" ht="28.5" customHeight="1">
      <c r="A40" s="34" t="inlineStr">
        <is>
          <t>Schools smaller in 2025 than in 2018 (of the six)</t>
        </is>
      </c>
      <c r="B40" s="33">
        <f>COUNTIF(B33:G33,"&lt;0")</f>
        <v>5</v>
      </c>
    </row>
    <row r="41"/>
    <row r="42" ht="28.5" customHeight="1">
      <c r="A42" s="26" t="inlineStr">
        <is>
          <t>Lane Cove council area: all five primary schools</t>
        </is>
      </c>
      <c r="B42" s="26" t="inlineStr">
        <is>
          <t>2018</t>
        </is>
      </c>
      <c r="C42" s="26" t="inlineStr">
        <is>
          <t>2025</t>
        </is>
      </c>
      <c r="D42" s="26" t="inlineStr">
        <is>
          <t>Change</t>
        </is>
      </c>
      <c r="J42" s="3" t="inlineStr">
        <is>
          <t>Peaks are taken over 2014 to 2025. Grey cells are formulas on the figures above.</t>
        </is>
      </c>
    </row>
    <row r="43" ht="54" customHeight="1">
      <c r="A43" s="34" t="inlineStr">
        <is>
          <t>Currambena Primary (independent; the council area's fifth primary school, ACARA ID 43734)</t>
        </is>
      </c>
      <c r="B43" s="32" t="n">
        <v>95</v>
      </c>
      <c r="C43" s="32" t="n">
        <v>79</v>
      </c>
      <c r="D43" s="37">
        <f>C43/B43-1</f>
        <v>-0.168421052631579</v>
      </c>
    </row>
    <row r="44" ht="28.5" customHeight="1">
      <c r="A44" s="34" t="inlineStr">
        <is>
          <t>All five: the four in column H plus Currambena</t>
        </is>
      </c>
      <c r="B44" s="33">
        <f>H17+B43</f>
        <v>2589</v>
      </c>
      <c r="C44" s="33">
        <f>H24+C43</f>
        <v>2110</v>
      </c>
      <c r="D44" s="37">
        <f>C44/B44-1</f>
        <v>-0.185013518733102</v>
      </c>
      <c r="J44" s="3" t="inlineStr">
        <is>
          <t>The article's table shows 2018, 2024, 2025 and the peak. Every year from 2009 to 2025 is here for all six schools.</t>
        </is>
      </c>
    </row>
    <row r="45" ht="28.5" customHeight="1">
      <c r="A45" s="34" t="inlineStr">
        <is>
          <t>Every one of the five smaller in 2025 than in 2018</t>
        </is>
      </c>
      <c r="B45" s="41" t="str">
        <f>IF(AND(B24&lt;B17,C24&lt;C17,D24&lt;D17,E24&lt;E17,C43&lt;B43),"Yes","No")</f>
        <v>Yes</v>
      </c>
    </row>
    <row r="46"/>
    <row r="47">
      <c r="J47" s="3" t="inlineStr">
        <is>
          <t>St Michael's Catholic Primary was higher before the 2014 to 2025 window: 556 in 2013, its highest from 2009 to 2025 (see the two 'whole series' rows). It is the only one of the six whose whole-series high falls before 2014.</t>
        </is>
      </c>
    </row>
    <row r="48"/>
    <row r="49"/>
    <row r="50"/>
    <row r="51">
      <c r="J51" s="3" t="inlineStr">
        <is>
          <t>From an earlier draft of the article, now only in this workbook: "Total enrolments, all year levels including support classes; peak taken over 2014 to 2025."</t>
        </is>
      </c>
    </row>
    <row r="52"/>
    <row r="53"/>
    <row r="54">
      <c r="J54" s="27" t="inlineStr">
        <is>
          <t>Sources</t>
        </is>
      </c>
    </row>
    <row r="55">
      <c r="J55" s="42" t="inlineStr">
        <is>
          <t>ACARA Data Access Program: Enrolments by Grade 2008-2025 and School Locations 2025</t>
        </is>
      </c>
    </row>
    <row r="56">
      <c r="J56" s="42" t="inlineStr">
        <is>
          <t>NSW Department of Education: NSW government school enrolments by head count, 2004-2025</t>
        </is>
      </c>
    </row>
  </sheetData>
  <mergeCells count="11">
    <mergeCell ref="J35:J37"/>
    <mergeCell ref="J17:J19"/>
    <mergeCell ref="J26:J28"/>
    <mergeCell ref="J44:J45"/>
    <mergeCell ref="J30:J32"/>
    <mergeCell ref="J9:J10"/>
    <mergeCell ref="J51:J52"/>
    <mergeCell ref="J47:J49"/>
    <mergeCell ref="J12:J13"/>
    <mergeCell ref="J21:J22"/>
    <mergeCell ref="J39:J40"/>
  </mergeCells>
  <hyperlinks>
    <hyperlink xmlns:r="http://schemas.openxmlformats.org/officeDocument/2006/relationships" ref="A2" r:id="rId1"/>
    <hyperlink xmlns:r="http://schemas.openxmlformats.org/officeDocument/2006/relationships" ref="J35" r:id="rId2"/>
    <hyperlink xmlns:r="http://schemas.openxmlformats.org/officeDocument/2006/relationships" ref="J39" r:id="rId3"/>
    <hyperlink xmlns:r="http://schemas.openxmlformats.org/officeDocument/2006/relationships" ref="J55" r:id="rId4"/>
    <hyperlink xmlns:r="http://schemas.openxmlformats.org/officeDocument/2006/relationships" ref="J56" r:id="rId5"/>
  </hyperlinks>
  <printOptions gridLines="0"/>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3" customWidth="1" min="3" max="3"/>
    <col width="13" customWidth="1" min="4" max="4"/>
    <col width="14" customWidth="1" min="5" max="5"/>
    <col width="13" customWidth="1" min="6" max="6"/>
    <col width="13" customWidth="1" min="7" max="7"/>
    <col width="15" customWidth="1" min="8" max="8"/>
    <col width="15" customWidth="1" min="9" max="9"/>
    <col width="22" customWidth="1" min="10" max="10"/>
    <col width="3" customWidth="1" min="11" max="11"/>
    <col width="95" customWidth="1" min="12" max="12"/>
  </cols>
  <sheetData>
    <row r="1">
      <c r="A1" s="7" t="inlineStr">
        <is>
          <t>Kindergarten at the six schools, 2009 to 2025</t>
        </is>
      </c>
    </row>
    <row r="2">
      <c r="A2" s="25" t="inlineStr">
        <is>
          <t>ACARA 'One year before Year 1' headcount, August census, keyed on school ID.</t>
        </is>
      </c>
    </row>
    <row r="3"/>
    <row r="4" ht="110" customHeight="1">
      <c r="A4" s="26" t="inlineStr">
        <is>
          <t>Year</t>
        </is>
      </c>
      <c r="B4" s="26" t="inlineStr">
        <is>
          <t>Lane Cove Public</t>
        </is>
      </c>
      <c r="C4" s="26" t="inlineStr">
        <is>
          <t>Lane Cove West Public</t>
        </is>
      </c>
      <c r="D4" s="26" t="inlineStr">
        <is>
          <t>Greenwich Public</t>
        </is>
      </c>
      <c r="E4" s="26" t="inlineStr">
        <is>
          <t>St Michael's Catholic Primary</t>
        </is>
      </c>
      <c r="F4" s="26" t="inlineStr">
        <is>
          <t>Mowbray Public</t>
        </is>
      </c>
      <c r="G4" s="26" t="inlineStr">
        <is>
          <t>Chatswood Public</t>
        </is>
      </c>
      <c r="H4" s="26" t="inlineStr">
        <is>
          <t>Five schools (all but Chatswood)</t>
        </is>
      </c>
      <c r="I4" s="26" t="inlineStr">
        <is>
          <t>Five schools: change on the year before</t>
        </is>
      </c>
      <c r="J4" s="26" t="inlineStr">
        <is>
          <t>Four of the six: the ones inside Lane Cove council area (Currambena, the council area's fifth kindergarten, is on the Council-area kindergarten sheet)</t>
        </is>
      </c>
      <c r="L4" s="27" t="inlineStr">
        <is>
          <t>In the article</t>
        </is>
      </c>
    </row>
    <row r="5">
      <c r="A5" s="28" t="inlineStr">
        <is>
          <t>ACARA school ID</t>
        </is>
      </c>
      <c r="B5" s="29" t="n">
        <v>41221</v>
      </c>
      <c r="C5" s="29" t="n">
        <v>41260</v>
      </c>
      <c r="D5" s="29" t="n">
        <v>41216</v>
      </c>
      <c r="E5" s="29" t="n">
        <v>43419</v>
      </c>
      <c r="F5" s="29" t="n">
        <v>41271</v>
      </c>
      <c r="G5" s="29" t="n">
        <v>41316</v>
      </c>
      <c r="H5" s="28" t="inlineStr"/>
      <c r="I5" s="28" t="inlineStr"/>
      <c r="J5" s="28" t="inlineStr"/>
      <c r="L5" s="30" t="inlineStr">
        <is>
          <t>“Five primary schools in and around Lane Cove took 395 children into kindergarten in 2025, the smallest intake in 17 years of published figures.”</t>
        </is>
      </c>
    </row>
    <row r="6">
      <c r="A6" s="28" t="inlineStr">
        <is>
          <t>Council area</t>
        </is>
      </c>
      <c r="B6" s="28" t="inlineStr">
        <is>
          <t>Lane Cove</t>
        </is>
      </c>
      <c r="C6" s="28" t="inlineStr">
        <is>
          <t>Lane Cove</t>
        </is>
      </c>
      <c r="D6" s="28" t="inlineStr">
        <is>
          <t>Lane Cove</t>
        </is>
      </c>
      <c r="E6" s="28" t="inlineStr">
        <is>
          <t>Lane Cove</t>
        </is>
      </c>
      <c r="F6" s="28" t="inlineStr">
        <is>
          <t>Willoughby</t>
        </is>
      </c>
      <c r="G6" s="28" t="inlineStr">
        <is>
          <t>Willoughby</t>
        </is>
      </c>
      <c r="H6" s="28" t="inlineStr"/>
      <c r="I6" s="28" t="inlineStr"/>
      <c r="J6" s="28" t="inlineStr">
        <is>
          <t>Lane Cove</t>
        </is>
      </c>
    </row>
    <row r="7">
      <c r="A7" s="28" t="inlineStr">
        <is>
          <t>Sector</t>
        </is>
      </c>
      <c r="B7" s="28" t="inlineStr">
        <is>
          <t>Government</t>
        </is>
      </c>
      <c r="C7" s="28" t="inlineStr">
        <is>
          <t>Government</t>
        </is>
      </c>
      <c r="D7" s="28" t="inlineStr">
        <is>
          <t>Government</t>
        </is>
      </c>
      <c r="E7" s="28" t="inlineStr">
        <is>
          <t>Catholic</t>
        </is>
      </c>
      <c r="F7" s="28" t="inlineStr">
        <is>
          <t>Government</t>
        </is>
      </c>
      <c r="G7" s="28" t="inlineStr">
        <is>
          <t>Government</t>
        </is>
      </c>
      <c r="H7" s="28" t="inlineStr"/>
      <c r="I7" s="28" t="inlineStr"/>
      <c r="J7" s="28" t="inlineStr"/>
    </row>
    <row r="8">
      <c r="A8" s="31" t="n">
        <v>2009</v>
      </c>
      <c r="B8" s="32" t="n">
        <v>124</v>
      </c>
      <c r="C8" s="32" t="n">
        <v>88</v>
      </c>
      <c r="D8" s="32" t="n">
        <v>62</v>
      </c>
      <c r="E8" s="32" t="n">
        <v>88</v>
      </c>
      <c r="F8" s="32" t="n">
        <v>45</v>
      </c>
      <c r="G8" s="32" t="n">
        <v>91</v>
      </c>
      <c r="H8" s="33">
        <f>SUM(B8:F8)</f>
        <v>407</v>
      </c>
      <c r="I8" s="43" t="n"/>
      <c r="J8" s="33">
        <f>SUM(B8:E8)</f>
        <v>362</v>
      </c>
      <c r="L8" s="30" t="inlineStr">
        <is>
          <t>“The 2018 peak was 518.”</t>
        </is>
      </c>
    </row>
    <row r="9">
      <c r="A9" s="31" t="n">
        <v>2010</v>
      </c>
      <c r="B9" s="32" t="n">
        <v>126</v>
      </c>
      <c r="C9" s="32" t="n">
        <v>100</v>
      </c>
      <c r="D9" s="32" t="n">
        <v>94</v>
      </c>
      <c r="E9" s="32" t="n">
        <v>85</v>
      </c>
      <c r="F9" s="32" t="n">
        <v>63</v>
      </c>
      <c r="G9" s="32" t="n">
        <v>116</v>
      </c>
      <c r="H9" s="33">
        <f>SUM(B9:F9)</f>
        <v>468</v>
      </c>
      <c r="I9" s="38">
        <f>H9-H8</f>
        <v>61</v>
      </c>
      <c r="J9" s="33">
        <f>SUM(B9:E9)</f>
        <v>405</v>
      </c>
    </row>
    <row r="10">
      <c r="A10" s="31" t="n">
        <v>2011</v>
      </c>
      <c r="B10" s="32" t="n">
        <v>113</v>
      </c>
      <c r="C10" s="32" t="n">
        <v>97</v>
      </c>
      <c r="D10" s="32" t="n">
        <v>76</v>
      </c>
      <c r="E10" s="32" t="n">
        <v>82</v>
      </c>
      <c r="F10" s="32" t="n">
        <v>52</v>
      </c>
      <c r="G10" s="32" t="n">
        <v>115</v>
      </c>
      <c r="H10" s="33">
        <f>SUM(B10:F10)</f>
        <v>420</v>
      </c>
      <c r="I10" s="38">
        <f>H10-H9</f>
        <v>-48</v>
      </c>
      <c r="J10" s="33">
        <f>SUM(B10:E10)</f>
        <v>368</v>
      </c>
      <c r="L10" s="30" t="inlineStr">
        <is>
          <t>“Kindergarten 2025: 395 children enrolled at Lane Cove Public, Lane Cove West, Greenwich, St Michael's and Mowbray, down from 518 in 2018.”</t>
        </is>
      </c>
    </row>
    <row r="11">
      <c r="A11" s="31" t="n">
        <v>2012</v>
      </c>
      <c r="B11" s="32" t="n">
        <v>131</v>
      </c>
      <c r="C11" s="32" t="n">
        <v>95</v>
      </c>
      <c r="D11" s="32" t="n">
        <v>82</v>
      </c>
      <c r="E11" s="32" t="n">
        <v>93</v>
      </c>
      <c r="F11" s="32" t="n">
        <v>61</v>
      </c>
      <c r="G11" s="32" t="n">
        <v>139</v>
      </c>
      <c r="H11" s="33">
        <f>SUM(B11:F11)</f>
        <v>462</v>
      </c>
      <c r="I11" s="38">
        <f>H11-H10</f>
        <v>42</v>
      </c>
      <c r="J11" s="33">
        <f>SUM(B11:E11)</f>
        <v>401</v>
      </c>
    </row>
    <row r="12">
      <c r="A12" s="31" t="n">
        <v>2013</v>
      </c>
      <c r="B12" s="32" t="n">
        <v>141</v>
      </c>
      <c r="C12" s="32" t="n">
        <v>91</v>
      </c>
      <c r="D12" s="32" t="n">
        <v>95</v>
      </c>
      <c r="E12" s="32" t="n">
        <v>91</v>
      </c>
      <c r="F12" s="32" t="n">
        <v>75</v>
      </c>
      <c r="G12" s="32" t="n">
        <v>168</v>
      </c>
      <c r="H12" s="33">
        <f>SUM(B12:F12)</f>
        <v>493</v>
      </c>
      <c r="I12" s="38">
        <f>H12-H11</f>
        <v>31</v>
      </c>
      <c r="J12" s="33">
        <f>SUM(B12:E12)</f>
        <v>418</v>
      </c>
    </row>
    <row r="13">
      <c r="A13" s="31" t="n">
        <v>2014</v>
      </c>
      <c r="B13" s="32" t="n">
        <v>128</v>
      </c>
      <c r="C13" s="32" t="n">
        <v>87</v>
      </c>
      <c r="D13" s="32" t="n">
        <v>79</v>
      </c>
      <c r="E13" s="32" t="n">
        <v>86</v>
      </c>
      <c r="F13" s="32" t="n">
        <v>74</v>
      </c>
      <c r="G13" s="32" t="n">
        <v>145</v>
      </c>
      <c r="H13" s="33">
        <f>SUM(B13:F13)</f>
        <v>454</v>
      </c>
      <c r="I13" s="38">
        <f>H13-H12</f>
        <v>-39</v>
      </c>
      <c r="J13" s="33">
        <f>SUM(B13:E13)</f>
        <v>380</v>
      </c>
      <c r="L13" s="30" t="inlineStr">
        <is>
          <t>“The smallest intake in 17 years of published figures.”</t>
        </is>
      </c>
    </row>
    <row r="14">
      <c r="A14" s="31" t="n">
        <v>2015</v>
      </c>
      <c r="B14" s="32" t="n">
        <v>135</v>
      </c>
      <c r="C14" s="32" t="n">
        <v>91</v>
      </c>
      <c r="D14" s="32" t="n">
        <v>86</v>
      </c>
      <c r="E14" s="32" t="n">
        <v>95</v>
      </c>
      <c r="F14" s="32" t="n">
        <v>68</v>
      </c>
      <c r="G14" s="32" t="n">
        <v>176</v>
      </c>
      <c r="H14" s="33">
        <f>SUM(B14:F14)</f>
        <v>475</v>
      </c>
      <c r="I14" s="38">
        <f>H14-H13</f>
        <v>21</v>
      </c>
      <c r="J14" s="33">
        <f>SUM(B14:E14)</f>
        <v>407</v>
      </c>
    </row>
    <row r="15">
      <c r="A15" s="31" t="n">
        <v>2016</v>
      </c>
      <c r="B15" s="32" t="n">
        <v>134</v>
      </c>
      <c r="C15" s="32" t="n">
        <v>74</v>
      </c>
      <c r="D15" s="32" t="n">
        <v>70</v>
      </c>
      <c r="E15" s="32" t="n">
        <v>82</v>
      </c>
      <c r="F15" s="32" t="n">
        <v>83</v>
      </c>
      <c r="G15" s="32" t="n">
        <v>198</v>
      </c>
      <c r="H15" s="33">
        <f>SUM(B15:F15)</f>
        <v>443</v>
      </c>
      <c r="I15" s="38">
        <f>H15-H14</f>
        <v>-32</v>
      </c>
      <c r="J15" s="33">
        <f>SUM(B15:E15)</f>
        <v>360</v>
      </c>
      <c r="L15" s="30" t="inlineStr">
        <is>
          <t>“Record lows: kindergarten at Lane Cove Public (94) and Greenwich (41) was each school's smallest since at least 2009.”</t>
        </is>
      </c>
    </row>
    <row r="16">
      <c r="A16" s="31" t="n">
        <v>2017</v>
      </c>
      <c r="B16" s="32" t="n">
        <v>129</v>
      </c>
      <c r="C16" s="32" t="n">
        <v>95</v>
      </c>
      <c r="D16" s="32" t="n">
        <v>82</v>
      </c>
      <c r="E16" s="32" t="n">
        <v>94</v>
      </c>
      <c r="F16" s="32" t="n">
        <v>102</v>
      </c>
      <c r="G16" s="32" t="n">
        <v>199</v>
      </c>
      <c r="H16" s="33">
        <f>SUM(B16:F16)</f>
        <v>502</v>
      </c>
      <c r="I16" s="38">
        <f>H16-H15</f>
        <v>59</v>
      </c>
      <c r="J16" s="33">
        <f>SUM(B16:E16)</f>
        <v>400</v>
      </c>
    </row>
    <row r="17">
      <c r="A17" s="31" t="n">
        <v>2018</v>
      </c>
      <c r="B17" s="32" t="n">
        <v>146</v>
      </c>
      <c r="C17" s="32" t="n">
        <v>86</v>
      </c>
      <c r="D17" s="32" t="n">
        <v>92</v>
      </c>
      <c r="E17" s="32" t="n">
        <v>76</v>
      </c>
      <c r="F17" s="32" t="n">
        <v>118</v>
      </c>
      <c r="G17" s="32" t="n">
        <v>205</v>
      </c>
      <c r="H17" s="33">
        <f>SUM(B17:F17)</f>
        <v>518</v>
      </c>
      <c r="I17" s="38">
        <f>H17-H16</f>
        <v>16</v>
      </c>
      <c r="J17" s="33">
        <f>SUM(B17:E17)</f>
        <v>400</v>
      </c>
    </row>
    <row r="18">
      <c r="A18" s="31" t="n">
        <v>2019</v>
      </c>
      <c r="B18" s="32" t="n">
        <v>132</v>
      </c>
      <c r="C18" s="32" t="n">
        <v>106</v>
      </c>
      <c r="D18" s="32" t="n">
        <v>85</v>
      </c>
      <c r="E18" s="32" t="n">
        <v>72</v>
      </c>
      <c r="F18" s="32" t="n">
        <v>117</v>
      </c>
      <c r="G18" s="32" t="n">
        <v>166</v>
      </c>
      <c r="H18" s="33">
        <f>SUM(B18:F18)</f>
        <v>512</v>
      </c>
      <c r="I18" s="38">
        <f>H18-H17</f>
        <v>-6</v>
      </c>
      <c r="J18" s="33">
        <f>SUM(B18:E18)</f>
        <v>395</v>
      </c>
      <c r="L18" s="30" t="inlineStr">
        <is>
          <t>“The five schools took 395 children into kindergarten in 2025, the smallest intake in 17 years of published figures and 123 fewer than in 2018.”</t>
        </is>
      </c>
    </row>
    <row r="19">
      <c r="A19" s="31" t="n">
        <v>2020</v>
      </c>
      <c r="B19" s="32" t="n">
        <v>106</v>
      </c>
      <c r="C19" s="32" t="n">
        <v>95</v>
      </c>
      <c r="D19" s="32" t="n">
        <v>71</v>
      </c>
      <c r="E19" s="32" t="n">
        <v>88</v>
      </c>
      <c r="F19" s="32" t="n">
        <v>106</v>
      </c>
      <c r="G19" s="32" t="n">
        <v>221</v>
      </c>
      <c r="H19" s="33">
        <f>SUM(B19:F19)</f>
        <v>466</v>
      </c>
      <c r="I19" s="38">
        <f>H19-H18</f>
        <v>-46</v>
      </c>
      <c r="J19" s="33">
        <f>SUM(B19:E19)</f>
        <v>360</v>
      </c>
    </row>
    <row r="20">
      <c r="A20" s="31" t="n">
        <v>2021</v>
      </c>
      <c r="B20" s="32" t="n">
        <v>127</v>
      </c>
      <c r="C20" s="32" t="n">
        <v>95</v>
      </c>
      <c r="D20" s="32" t="n">
        <v>77</v>
      </c>
      <c r="E20" s="32" t="n">
        <v>100</v>
      </c>
      <c r="F20" s="32" t="n">
        <v>115</v>
      </c>
      <c r="G20" s="32" t="n">
        <v>121</v>
      </c>
      <c r="H20" s="33">
        <f>SUM(B20:F20)</f>
        <v>514</v>
      </c>
      <c r="I20" s="38">
        <f>H20-H19</f>
        <v>48</v>
      </c>
      <c r="J20" s="33">
        <f>SUM(B20:E20)</f>
        <v>399</v>
      </c>
    </row>
    <row r="21">
      <c r="A21" s="31" t="n">
        <v>2022</v>
      </c>
      <c r="B21" s="32" t="n">
        <v>110</v>
      </c>
      <c r="C21" s="32" t="n">
        <v>78</v>
      </c>
      <c r="D21" s="32" t="n">
        <v>64</v>
      </c>
      <c r="E21" s="32" t="n">
        <v>77</v>
      </c>
      <c r="F21" s="32" t="n">
        <v>115</v>
      </c>
      <c r="G21" s="32" t="n">
        <v>128</v>
      </c>
      <c r="H21" s="33">
        <f>SUM(B21:F21)</f>
        <v>444</v>
      </c>
      <c r="I21" s="38">
        <f>H21-H20</f>
        <v>-70</v>
      </c>
      <c r="J21" s="33">
        <f>SUM(B21:E21)</f>
        <v>329</v>
      </c>
      <c r="L21" s="30" t="inlineStr">
        <is>
          <t>“Kindergarten has fallen in six of the last seven years.”</t>
        </is>
      </c>
    </row>
    <row r="22">
      <c r="A22" s="31" t="n">
        <v>2023</v>
      </c>
      <c r="B22" s="32" t="n">
        <v>107</v>
      </c>
      <c r="C22" s="32" t="n">
        <v>69</v>
      </c>
      <c r="D22" s="32" t="n">
        <v>55</v>
      </c>
      <c r="E22" s="32" t="n">
        <v>77</v>
      </c>
      <c r="F22" s="32" t="n">
        <v>118</v>
      </c>
      <c r="G22" s="32" t="n">
        <v>116</v>
      </c>
      <c r="H22" s="33">
        <f>SUM(B22:F22)</f>
        <v>426</v>
      </c>
      <c r="I22" s="38">
        <f>H22-H21</f>
        <v>-18</v>
      </c>
      <c r="J22" s="33">
        <f>SUM(B22:E22)</f>
        <v>308</v>
      </c>
    </row>
    <row r="23">
      <c r="A23" s="31" t="n">
        <v>2024</v>
      </c>
      <c r="B23" s="32" t="n">
        <v>117</v>
      </c>
      <c r="C23" s="32" t="n">
        <v>60</v>
      </c>
      <c r="D23" s="32" t="n">
        <v>57</v>
      </c>
      <c r="E23" s="32" t="n">
        <v>73</v>
      </c>
      <c r="F23" s="32" t="n">
        <v>110</v>
      </c>
      <c r="G23" s="32" t="n">
        <v>107</v>
      </c>
      <c r="H23" s="33">
        <f>SUM(B23:F23)</f>
        <v>417</v>
      </c>
      <c r="I23" s="38">
        <f>H23-H22</f>
        <v>-9</v>
      </c>
      <c r="J23" s="33">
        <f>SUM(B23:E23)</f>
        <v>307</v>
      </c>
      <c r="L23" s="30" t="inlineStr">
        <is>
          <t>From an earlier draft of the article, now only in this workbook: “Two schools recorded their smallest kindergarten in the series in 2025: Lane Cove Public with 94 and Greenwich with 41.”</t>
        </is>
      </c>
    </row>
    <row r="24">
      <c r="A24" s="31" t="n">
        <v>2025</v>
      </c>
      <c r="B24" s="32" t="n">
        <v>94</v>
      </c>
      <c r="C24" s="32" t="n">
        <v>73</v>
      </c>
      <c r="D24" s="32" t="n">
        <v>41</v>
      </c>
      <c r="E24" s="32" t="n">
        <v>78</v>
      </c>
      <c r="F24" s="32" t="n">
        <v>109</v>
      </c>
      <c r="G24" s="32" t="n">
        <v>124</v>
      </c>
      <c r="H24" s="33">
        <f>SUM(B24:F24)</f>
        <v>395</v>
      </c>
      <c r="I24" s="38">
        <f>H24-H23</f>
        <v>-22</v>
      </c>
      <c r="J24" s="33">
        <f>SUM(B24:E24)</f>
        <v>286</v>
      </c>
    </row>
    <row r="25"/>
    <row r="26">
      <c r="A26" s="34" t="inlineStr">
        <is>
          <t>Lowest, 2009 to 2025</t>
        </is>
      </c>
      <c r="B26" s="33">
        <f>MIN(B8:B24)</f>
        <v>94</v>
      </c>
      <c r="C26" s="33">
        <f>MIN(C8:C24)</f>
        <v>60</v>
      </c>
      <c r="D26" s="33">
        <f>MIN(D8:D24)</f>
        <v>41</v>
      </c>
      <c r="E26" s="33">
        <f>MIN(E8:E24)</f>
        <v>72</v>
      </c>
      <c r="F26" s="33">
        <f>MIN(F8:F24)</f>
        <v>45</v>
      </c>
      <c r="G26" s="33">
        <f>MIN(G8:G24)</f>
        <v>91</v>
      </c>
      <c r="H26" s="33">
        <f>MIN(H8:H24)</f>
        <v>395</v>
      </c>
      <c r="J26" s="33">
        <f>MIN(J8:J24)</f>
        <v>286</v>
      </c>
    </row>
    <row r="27">
      <c r="A27" s="34" t="inlineStr">
        <is>
          <t>Year of that low</t>
        </is>
      </c>
      <c r="B27" s="40">
        <f>INDEX($A$8:$A$24,MATCH(B26,B8:B24,0))</f>
        <v>2025</v>
      </c>
      <c r="C27" s="40">
        <f>INDEX($A$8:$A$24,MATCH(C26,C8:C24,0))</f>
        <v>2024</v>
      </c>
      <c r="D27" s="40">
        <f>INDEX($A$8:$A$24,MATCH(D26,D8:D24,0))</f>
        <v>2025</v>
      </c>
      <c r="E27" s="40">
        <f>INDEX($A$8:$A$24,MATCH(E26,E8:E24,0))</f>
        <v>2019</v>
      </c>
      <c r="F27" s="40">
        <f>INDEX($A$8:$A$24,MATCH(F26,F8:F24,0))</f>
        <v>2009</v>
      </c>
      <c r="G27" s="40">
        <f>INDEX($A$8:$A$24,MATCH(G26,G8:G24,0))</f>
        <v>2009</v>
      </c>
      <c r="H27" s="40">
        <f>INDEX($A$8:$A$24,MATCH(H26,H8:H24,0))</f>
        <v>2025</v>
      </c>
      <c r="J27" s="40">
        <f>INDEX($A$8:$A$24,MATCH(J26,J8:J24,0))</f>
        <v>2025</v>
      </c>
      <c r="L27" s="30" t="inlineStr">
        <is>
          <t>From an earlier draft of the article, now only in this workbook: “Three of the six took more kindergarten children than the year before: Lane Cove West, St Michael's and Chatswood.”</t>
        </is>
      </c>
    </row>
    <row r="28" ht="28.5" customHeight="1">
      <c r="A28" s="34" t="inlineStr">
        <is>
          <t>Lowest before 2025 (2009 to 2024)</t>
        </is>
      </c>
      <c r="B28" s="33">
        <f>MIN(B8:B23)</f>
        <v>106</v>
      </c>
      <c r="C28" s="33">
        <f>MIN(C8:C23)</f>
        <v>60</v>
      </c>
      <c r="D28" s="33">
        <f>MIN(D8:D23)</f>
        <v>55</v>
      </c>
      <c r="E28" s="33">
        <f>MIN(E8:E23)</f>
        <v>72</v>
      </c>
      <c r="F28" s="33">
        <f>MIN(F8:F23)</f>
        <v>45</v>
      </c>
      <c r="G28" s="33">
        <f>MIN(G8:G23)</f>
        <v>91</v>
      </c>
      <c r="H28" s="33">
        <f>MIN(H8:H23)</f>
        <v>407</v>
      </c>
      <c r="J28" s="33">
        <f>MIN(J8:J23)</f>
        <v>307</v>
      </c>
    </row>
    <row r="29">
      <c r="A29" s="34" t="inlineStr">
        <is>
          <t>Year of that earlier low</t>
        </is>
      </c>
      <c r="B29" s="40">
        <f>INDEX($A$8:$A$23,MATCH(B28,B8:B23,0))</f>
        <v>2020</v>
      </c>
      <c r="C29" s="40">
        <f>INDEX($A$8:$A$23,MATCH(C28,C8:C23,0))</f>
        <v>2024</v>
      </c>
      <c r="D29" s="40">
        <f>INDEX($A$8:$A$23,MATCH(D28,D8:D23,0))</f>
        <v>2023</v>
      </c>
      <c r="E29" s="40">
        <f>INDEX($A$8:$A$23,MATCH(E28,E8:E23,0))</f>
        <v>2019</v>
      </c>
      <c r="F29" s="40">
        <f>INDEX($A$8:$A$23,MATCH(F28,F8:F23,0))</f>
        <v>2009</v>
      </c>
      <c r="G29" s="40">
        <f>INDEX($A$8:$A$23,MATCH(G28,G8:G23,0))</f>
        <v>2009</v>
      </c>
      <c r="H29" s="40">
        <f>INDEX($A$8:$A$23,MATCH(H28,H8:H23,0))</f>
        <v>2009</v>
      </c>
      <c r="J29" s="40">
        <f>INDEX($A$8:$A$23,MATCH(J28,J8:J23,0))</f>
        <v>2024</v>
      </c>
    </row>
    <row r="30">
      <c r="A30" s="34" t="inlineStr">
        <is>
          <t>Change, 2024 to 2025</t>
        </is>
      </c>
      <c r="B30" s="38">
        <f>B24-B23</f>
        <v>-23</v>
      </c>
      <c r="C30" s="38">
        <f>C24-C23</f>
        <v>13</v>
      </c>
      <c r="D30" s="38">
        <f>D24-D23</f>
        <v>-16</v>
      </c>
      <c r="E30" s="38">
        <f>E24-E23</f>
        <v>5</v>
      </c>
      <c r="F30" s="38">
        <f>F24-F23</f>
        <v>-1</v>
      </c>
      <c r="G30" s="38">
        <f>G24-G23</f>
        <v>17</v>
      </c>
      <c r="H30" s="38">
        <f>H24-H23</f>
        <v>-22</v>
      </c>
      <c r="J30" s="38">
        <f>J24-J23</f>
        <v>-21</v>
      </c>
      <c r="L30" s="30" t="inlineStr">
        <is>
          <t>“Across the four schools inside the Lane Cove LGA, kindergarten was 400 in 2018 and 286 in 2025, 29% lower.”</t>
        </is>
      </c>
    </row>
    <row r="31" ht="28.5" customHeight="1">
      <c r="A31" s="34" t="inlineStr">
        <is>
          <t>More kindergarten children than in 2024?</t>
        </is>
      </c>
      <c r="B31" s="41" t="str">
        <f>IF(B30&gt;0,"Yes","No")</f>
        <v>No</v>
      </c>
      <c r="C31" s="41" t="str">
        <f>IF(C30&gt;0,"Yes","No")</f>
        <v>Yes</v>
      </c>
      <c r="D31" s="41" t="str">
        <f>IF(D30&gt;0,"Yes","No")</f>
        <v>No</v>
      </c>
      <c r="E31" s="41" t="str">
        <f>IF(E30&gt;0,"Yes","No")</f>
        <v>Yes</v>
      </c>
      <c r="F31" s="41" t="str">
        <f>IF(F30&gt;0,"Yes","No")</f>
        <v>No</v>
      </c>
      <c r="G31" s="41" t="str">
        <f>IF(G30&gt;0,"Yes","No")</f>
        <v>Yes</v>
      </c>
    </row>
    <row r="32" ht="28.5" customHeight="1">
      <c r="A32" s="34" t="inlineStr">
        <is>
          <t>Years of published figures, 2009 to 2025 (five schools)</t>
        </is>
      </c>
      <c r="H32" s="33">
        <f>COUNT(H8:H24)</f>
        <v>17</v>
      </c>
    </row>
    <row r="33" ht="41.25" customHeight="1">
      <c r="A33" s="34" t="inlineStr">
        <is>
          <t>Falls on the year before, 2019 to 2025: the last seven years (five schools)</t>
        </is>
      </c>
      <c r="H33" s="33">
        <f>COUNTIF(I18:I24,"&lt;0")</f>
        <v>6</v>
      </c>
      <c r="L33" s="30" t="inlineStr">
        <is>
          <t>“It was 308 in 2023 and 307 in 2024.”</t>
        </is>
      </c>
    </row>
    <row r="34" ht="28.5" customHeight="1">
      <c r="A34" s="34" t="inlineStr">
        <is>
          <t>2018 minus 2025 (five schools)</t>
        </is>
      </c>
      <c r="H34" s="33">
        <f>H17-H24</f>
        <v>123</v>
      </c>
    </row>
    <row r="35" ht="28.5" customHeight="1">
      <c r="A35" s="34" t="inlineStr">
        <is>
          <t>Change, 2018 to 2025 (four schools, column J)</t>
        </is>
      </c>
      <c r="J35" s="37">
        <f>J24/J17-1</f>
        <v>-0.285</v>
      </c>
      <c r="L35" s="30" t="inlineStr">
        <is>
          <t>“In the Lane Cove LGA, St Michael's (Catholic) and Currambena (the only independent school in the LGA with a kindergarten) each took a few fewer kindergarten children in 2025 than in 2016.”</t>
        </is>
      </c>
    </row>
    <row r="36">
      <c r="A36" s="34" t="inlineStr">
        <is>
          <t>Highest, 2009 to 2025</t>
        </is>
      </c>
      <c r="B36" s="33">
        <f>MAX(B8:B24)</f>
        <v>146</v>
      </c>
      <c r="C36" s="33">
        <f>MAX(C8:C24)</f>
        <v>106</v>
      </c>
      <c r="D36" s="33">
        <f>MAX(D8:D24)</f>
        <v>95</v>
      </c>
      <c r="E36" s="33">
        <f>MAX(E8:E24)</f>
        <v>100</v>
      </c>
      <c r="F36" s="33">
        <f>MAX(F8:F24)</f>
        <v>118</v>
      </c>
      <c r="G36" s="33">
        <f>MAX(G8:G24)</f>
        <v>221</v>
      </c>
      <c r="H36" s="33">
        <f>MAX(H8:H24)</f>
        <v>518</v>
      </c>
      <c r="J36" s="33">
        <f>MAX(J8:J24)</f>
        <v>418</v>
      </c>
    </row>
    <row r="37">
      <c r="A37" s="34" t="inlineStr">
        <is>
          <t>Year of that high</t>
        </is>
      </c>
      <c r="B37" s="40">
        <f>INDEX($A$8:$A$24,MATCH(B36,B8:B24,0))</f>
        <v>2018</v>
      </c>
      <c r="C37" s="40">
        <f>INDEX($A$8:$A$24,MATCH(C36,C8:C24,0))</f>
        <v>2019</v>
      </c>
      <c r="D37" s="40">
        <f>INDEX($A$8:$A$24,MATCH(D36,D8:D24,0))</f>
        <v>2013</v>
      </c>
      <c r="E37" s="40">
        <f>INDEX($A$8:$A$24,MATCH(E36,E8:E24,0))</f>
        <v>2021</v>
      </c>
      <c r="F37" s="40">
        <f>INDEX($A$8:$A$24,MATCH(F36,F8:F24,0))</f>
        <v>2018</v>
      </c>
      <c r="G37" s="40">
        <f>INDEX($A$8:$A$24,MATCH(G36,G8:G24,0))</f>
        <v>2020</v>
      </c>
      <c r="H37" s="40">
        <f>INDEX($A$8:$A$24,MATCH(H36,H8:H24,0))</f>
        <v>2018</v>
      </c>
      <c r="J37" s="40">
        <f>INDEX($A$8:$A$24,MATCH(J36,J8:J24,0))</f>
        <v>2013</v>
      </c>
    </row>
    <row r="38">
      <c r="A38" s="34" t="inlineStr">
        <is>
          <t>Change, 2016 to 2025</t>
        </is>
      </c>
      <c r="B38" s="38">
        <f>B24-B15</f>
        <v>-40</v>
      </c>
      <c r="C38" s="38">
        <f>C24-C15</f>
        <v>-1</v>
      </c>
      <c r="D38" s="38">
        <f>D24-D15</f>
        <v>-29</v>
      </c>
      <c r="E38" s="38">
        <f>E24-E15</f>
        <v>-4</v>
      </c>
      <c r="F38" s="38">
        <f>F24-F15</f>
        <v>26</v>
      </c>
      <c r="G38" s="38">
        <f>G24-G15</f>
        <v>-74</v>
      </c>
      <c r="H38" s="38">
        <f>H24-H15</f>
        <v>-48</v>
      </c>
      <c r="J38" s="38">
        <f>J24-J15</f>
        <v>-74</v>
      </c>
    </row>
    <row r="39">
      <c r="A39" s="34" t="inlineStr">
        <is>
          <t>Yearly average, 2016 to 2019</t>
        </is>
      </c>
      <c r="B39" s="44">
        <f>AVERAGE(B15:B18)</f>
        <v>135.25</v>
      </c>
      <c r="C39" s="44">
        <f>AVERAGE(C15:C18)</f>
        <v>90.25</v>
      </c>
      <c r="D39" s="44">
        <f>AVERAGE(D15:D18)</f>
        <v>82.25</v>
      </c>
      <c r="E39" s="44">
        <f>AVERAGE(E15:E18)</f>
        <v>81</v>
      </c>
      <c r="F39" s="44">
        <f>AVERAGE(F15:F18)</f>
        <v>105</v>
      </c>
      <c r="G39" s="44">
        <f>AVERAGE(G15:G18)</f>
        <v>192</v>
      </c>
      <c r="H39" s="44">
        <f>AVERAGE(H15:H18)</f>
        <v>493.75</v>
      </c>
      <c r="J39" s="44">
        <f>AVERAGE(J15:J18)</f>
        <v>388.75</v>
      </c>
      <c r="L39" s="27" t="inlineStr">
        <is>
          <t>How the figures are worked out</t>
        </is>
      </c>
    </row>
    <row r="40">
      <c r="A40" s="34" t="inlineStr">
        <is>
          <t>Yearly average, 2023 to 2025</t>
        </is>
      </c>
      <c r="B40" s="44">
        <f>AVERAGE(B22:B24)</f>
        <v>106</v>
      </c>
      <c r="C40" s="44">
        <f>AVERAGE(C22:C24)</f>
        <v>67.3333333333333</v>
      </c>
      <c r="D40" s="44">
        <f>AVERAGE(D22:D24)</f>
        <v>51</v>
      </c>
      <c r="E40" s="44">
        <f>AVERAGE(E22:E24)</f>
        <v>76</v>
      </c>
      <c r="F40" s="44">
        <f>AVERAGE(F22:F24)</f>
        <v>112.333333333333</v>
      </c>
      <c r="G40" s="44">
        <f>AVERAGE(G22:G24)</f>
        <v>115.666666666667</v>
      </c>
      <c r="H40" s="44">
        <f>AVERAGE(H22:H24)</f>
        <v>412.666666666667</v>
      </c>
      <c r="J40" s="44">
        <f>AVERAGE(J22:J24)</f>
        <v>300.333333333333</v>
      </c>
      <c r="L40" s="4" t="inlineStr">
        <is>
          <t>Kindergarten is ACARA's 'One year before Year 1' headcount from the August census.</t>
        </is>
      </c>
    </row>
    <row r="41">
      <c r="A41" s="34" t="inlineStr">
        <is>
          <t>Change in the yearly average</t>
        </is>
      </c>
      <c r="B41" s="45">
        <f>B40-B39</f>
        <v>-29.25</v>
      </c>
      <c r="C41" s="45">
        <f>C40-C39</f>
        <v>-22.9166666666667</v>
      </c>
      <c r="D41" s="45">
        <f>D40-D39</f>
        <v>-31.25</v>
      </c>
      <c r="E41" s="45">
        <f>E40-E39</f>
        <v>-5</v>
      </c>
      <c r="F41" s="45">
        <f>F40-F39</f>
        <v>7.33333333333333</v>
      </c>
      <c r="G41" s="45">
        <f>G40-G39</f>
        <v>-76.3333333333333</v>
      </c>
      <c r="H41" s="45">
        <f>H40-H39</f>
        <v>-81.0833333333333</v>
      </c>
      <c r="J41" s="45">
        <f>J40-J39</f>
        <v>-88.4166666666667</v>
      </c>
    </row>
    <row r="42" ht="28.5" customHeight="1">
      <c r="A42" s="34" t="inlineStr">
        <is>
          <t>Change in the yearly average (%)</t>
        </is>
      </c>
      <c r="B42" s="37">
        <f>B40/B39-1</f>
        <v>-0.216266173752311</v>
      </c>
      <c r="C42" s="37">
        <f>C40/C39-1</f>
        <v>-0.253924284395199</v>
      </c>
      <c r="D42" s="37">
        <f>D40/D39-1</f>
        <v>-0.379939209726444</v>
      </c>
      <c r="E42" s="37">
        <f>E40/E39-1</f>
        <v>-0.0617283950617285</v>
      </c>
      <c r="F42" s="37">
        <f>F40/F39-1</f>
        <v>0.0698412698412698</v>
      </c>
      <c r="G42" s="37">
        <f>G40/G39-1</f>
        <v>-0.397569444444444</v>
      </c>
      <c r="H42" s="37">
        <f>H40/H39-1</f>
        <v>-0.1642194092827</v>
      </c>
      <c r="J42" s="37">
        <f>J40/J39-1</f>
        <v>-0.227438370846731</v>
      </c>
      <c r="L42" s="3" t="inlineStr">
        <is>
          <t>Chatswood Public's kindergarten fell from 221 in 2020 to 121 in 2021, the year before part of its zone moved to Mowbray (see the Zone changes sheet).</t>
        </is>
      </c>
    </row>
    <row r="43"/>
    <row r="44">
      <c r="A44" s="26" t="inlineStr">
        <is>
          <t>Across the six schools</t>
        </is>
      </c>
      <c r="B44" s="26" t="inlineStr">
        <is>
          <t>Result</t>
        </is>
      </c>
    </row>
    <row r="45" ht="41.25" customHeight="1">
      <c r="A45" s="34" t="inlineStr">
        <is>
          <t>Schools with more kindergarten children than in 2024</t>
        </is>
      </c>
      <c r="B45" s="33">
        <f>COUNTIF(B31:G31,"Yes")</f>
        <v>3</v>
      </c>
      <c r="L45" s="4" t="inlineStr">
        <is>
          <t>The series starts in 2009: ACARA's 2008 file has these schools' total enrolments but no year-level figures for them, so 17 years of kindergarten figures are published, 2009 to 2025.</t>
        </is>
      </c>
    </row>
    <row r="46"/>
    <row r="47"/>
    <row r="48">
      <c r="L48" s="3" t="inlineStr">
        <is>
          <t>The five schools are the article's five primary schools in and around Lane Cove: Lane Cove Public, Lane Cove West Public, Greenwich Public, St Michael's Catholic Primary and Mowbray Public. The four are the same less Mowbray, which is in Willoughby council area.</t>
        </is>
      </c>
    </row>
    <row r="49"/>
    <row r="50"/>
    <row r="51"/>
    <row r="52">
      <c r="L52" s="3" t="inlineStr">
        <is>
          <t>Lowest and earlier-low years use the first year that matches; the lows named in the article occur only once in the series. The earlier low is each school's lowest from 2009 to 2024.</t>
        </is>
      </c>
    </row>
    <row r="53"/>
    <row r="54"/>
    <row r="55">
      <c r="L55" s="3" t="inlineStr">
        <is>
          <t>The yearly averages use the same windows as the ratio sheets: 2016 to 2019 against 2023 to 2025.</t>
        </is>
      </c>
    </row>
    <row r="56"/>
    <row r="57"/>
    <row r="58">
      <c r="L58" s="27" t="inlineStr">
        <is>
          <t>Sources</t>
        </is>
      </c>
    </row>
    <row r="59">
      <c r="L59" s="42" t="inlineStr">
        <is>
          <t>ACARA Data Access Program: Enrolments by Grade 2008-2025 and School Locations 2025</t>
        </is>
      </c>
    </row>
  </sheetData>
  <mergeCells count="13">
    <mergeCell ref="L18:L19"/>
    <mergeCell ref="L35:L37"/>
    <mergeCell ref="L48:L50"/>
    <mergeCell ref="L52:L53"/>
    <mergeCell ref="L30:L31"/>
    <mergeCell ref="L55:L56"/>
    <mergeCell ref="L42:L43"/>
    <mergeCell ref="L27:L28"/>
    <mergeCell ref="L45:L46"/>
    <mergeCell ref="L15:L16"/>
    <mergeCell ref="L23:L25"/>
    <mergeCell ref="L10:L11"/>
    <mergeCell ref="L5:L6"/>
  </mergeCells>
  <hyperlinks>
    <hyperlink xmlns:r="http://schemas.openxmlformats.org/officeDocument/2006/relationships" ref="A2" r:id="rId1"/>
    <hyperlink xmlns:r="http://schemas.openxmlformats.org/officeDocument/2006/relationships" ref="L40" r:id="rId2"/>
    <hyperlink xmlns:r="http://schemas.openxmlformats.org/officeDocument/2006/relationships" ref="L45" r:id="rId3"/>
    <hyperlink xmlns:r="http://schemas.openxmlformats.org/officeDocument/2006/relationships" ref="L59" r:id="rId4"/>
  </hyperlinks>
  <printOptions gridLines="0"/>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R2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3" customWidth="1" min="17" max="17"/>
    <col width="95" customWidth="1" min="18" max="18"/>
  </cols>
  <sheetData>
    <row r="1">
      <c r="A1" s="7" t="inlineStr">
        <is>
          <t>ACARA totals against the NSW Department of Education headcount</t>
        </is>
      </c>
    </row>
    <row r="2">
      <c r="A2" s="8" t="inlineStr">
        <is>
          <t>The five government schools, 2009 to 2025. Both are August counts of all students.</t>
        </is>
      </c>
    </row>
    <row r="3"/>
    <row r="4">
      <c r="A4" s="26" t="inlineStr">
        <is>
          <t>Year</t>
        </is>
      </c>
      <c r="B4" s="26" t="inlineStr">
        <is>
          <t>Lane Cove Public</t>
        </is>
      </c>
      <c r="C4" s="46" t="n"/>
      <c r="D4" s="47" t="n"/>
      <c r="E4" s="26" t="inlineStr">
        <is>
          <t>Lane Cove West Public</t>
        </is>
      </c>
      <c r="F4" s="46" t="n"/>
      <c r="G4" s="47" t="n"/>
      <c r="H4" s="26" t="inlineStr">
        <is>
          <t>Greenwich Public</t>
        </is>
      </c>
      <c r="I4" s="46" t="n"/>
      <c r="J4" s="47" t="n"/>
      <c r="K4" s="26" t="inlineStr">
        <is>
          <t>Mowbray Public</t>
        </is>
      </c>
      <c r="L4" s="46" t="n"/>
      <c r="M4" s="47" t="n"/>
      <c r="N4" s="26" t="inlineStr">
        <is>
          <t>Chatswood Public</t>
        </is>
      </c>
      <c r="O4" s="46" t="n"/>
      <c r="P4" s="47" t="n"/>
      <c r="R4" s="27" t="inlineStr">
        <is>
          <t>How the figures are worked out</t>
        </is>
      </c>
    </row>
    <row r="5">
      <c r="A5" s="28" t="inlineStr">
        <is>
          <t>School IDs</t>
        </is>
      </c>
      <c r="B5" s="28" t="inlineStr">
        <is>
          <t>ACARA 41221, Department 2368</t>
        </is>
      </c>
      <c r="C5" s="46" t="n"/>
      <c r="D5" s="47" t="n"/>
      <c r="E5" s="28" t="inlineStr">
        <is>
          <t>ACARA 41260, Department 3908</t>
        </is>
      </c>
      <c r="F5" s="46" t="n"/>
      <c r="G5" s="47" t="n"/>
      <c r="H5" s="28" t="inlineStr">
        <is>
          <t>ACARA 41216, Department 2076</t>
        </is>
      </c>
      <c r="I5" s="46" t="n"/>
      <c r="J5" s="47" t="n"/>
      <c r="K5" s="28" t="inlineStr">
        <is>
          <t>ACARA 41271, Department 4015</t>
        </is>
      </c>
      <c r="L5" s="46" t="n"/>
      <c r="M5" s="47" t="n"/>
      <c r="N5" s="28" t="inlineStr">
        <is>
          <t>ACARA 41316, Department 7409</t>
        </is>
      </c>
      <c r="O5" s="46" t="n"/>
      <c r="P5" s="47" t="n"/>
      <c r="R5" s="4" t="inlineStr">
        <is>
          <t>ACARA's total enrolment for each government school is set beside the Department's August headcount for the same school code and year. A difference of zero in every year means the two official sources agree.</t>
        </is>
      </c>
    </row>
    <row r="6">
      <c r="A6" s="28" t="inlineStr"/>
      <c r="B6" s="28" t="inlineStr">
        <is>
          <t>ACARA total</t>
        </is>
      </c>
      <c r="C6" s="28" t="inlineStr">
        <is>
          <t>Department August headcount</t>
        </is>
      </c>
      <c r="D6" s="28" t="inlineStr">
        <is>
          <t>Difference</t>
        </is>
      </c>
      <c r="E6" s="28" t="inlineStr">
        <is>
          <t>ACARA total</t>
        </is>
      </c>
      <c r="F6" s="28" t="inlineStr">
        <is>
          <t>Department August headcount</t>
        </is>
      </c>
      <c r="G6" s="28" t="inlineStr">
        <is>
          <t>Difference</t>
        </is>
      </c>
      <c r="H6" s="28" t="inlineStr">
        <is>
          <t>ACARA total</t>
        </is>
      </c>
      <c r="I6" s="28" t="inlineStr">
        <is>
          <t>Department August headcount</t>
        </is>
      </c>
      <c r="J6" s="28" t="inlineStr">
        <is>
          <t>Difference</t>
        </is>
      </c>
      <c r="K6" s="28" t="inlineStr">
        <is>
          <t>ACARA total</t>
        </is>
      </c>
      <c r="L6" s="28" t="inlineStr">
        <is>
          <t>Department August headcount</t>
        </is>
      </c>
      <c r="M6" s="28" t="inlineStr">
        <is>
          <t>Difference</t>
        </is>
      </c>
      <c r="N6" s="28" t="inlineStr">
        <is>
          <t>ACARA total</t>
        </is>
      </c>
      <c r="O6" s="28" t="inlineStr">
        <is>
          <t>Department August headcount</t>
        </is>
      </c>
      <c r="P6" s="28" t="inlineStr">
        <is>
          <t>Difference</t>
        </is>
      </c>
    </row>
    <row r="7">
      <c r="A7" s="31" t="n">
        <v>2009</v>
      </c>
      <c r="B7" s="32" t="n">
        <v>810</v>
      </c>
      <c r="C7" s="32" t="n">
        <v>810</v>
      </c>
      <c r="D7" s="38">
        <f>B7-C7</f>
        <v>0</v>
      </c>
      <c r="E7" s="32" t="n">
        <v>379</v>
      </c>
      <c r="F7" s="32" t="n">
        <v>379</v>
      </c>
      <c r="G7" s="38">
        <f>E7-F7</f>
        <v>0</v>
      </c>
      <c r="H7" s="32" t="n">
        <v>372</v>
      </c>
      <c r="I7" s="32" t="n">
        <v>372</v>
      </c>
      <c r="J7" s="38">
        <f>H7-I7</f>
        <v>0</v>
      </c>
      <c r="K7" s="32" t="n">
        <v>263</v>
      </c>
      <c r="L7" s="32" t="n">
        <v>263</v>
      </c>
      <c r="M7" s="38">
        <f>K7-L7</f>
        <v>0</v>
      </c>
      <c r="N7" s="32" t="n">
        <v>702</v>
      </c>
      <c r="O7" s="32" t="n">
        <v>702</v>
      </c>
      <c r="P7" s="38">
        <f>N7-O7</f>
        <v>0</v>
      </c>
    </row>
    <row r="8">
      <c r="A8" s="31" t="n">
        <v>2010</v>
      </c>
      <c r="B8" s="32" t="n">
        <v>805</v>
      </c>
      <c r="C8" s="32" t="n">
        <v>805</v>
      </c>
      <c r="D8" s="38">
        <f>B8-C8</f>
        <v>0</v>
      </c>
      <c r="E8" s="32" t="n">
        <v>435</v>
      </c>
      <c r="F8" s="32" t="n">
        <v>435</v>
      </c>
      <c r="G8" s="38">
        <f>E8-F8</f>
        <v>0</v>
      </c>
      <c r="H8" s="32" t="n">
        <v>415</v>
      </c>
      <c r="I8" s="32" t="n">
        <v>415</v>
      </c>
      <c r="J8" s="38">
        <f>H8-I8</f>
        <v>0</v>
      </c>
      <c r="K8" s="32" t="n">
        <v>304</v>
      </c>
      <c r="L8" s="32" t="n">
        <v>304</v>
      </c>
      <c r="M8" s="38">
        <f>K8-L8</f>
        <v>0</v>
      </c>
      <c r="N8" s="32" t="n">
        <v>730</v>
      </c>
      <c r="O8" s="32" t="n">
        <v>730</v>
      </c>
      <c r="P8" s="38">
        <f>N8-O8</f>
        <v>0</v>
      </c>
    </row>
    <row r="9">
      <c r="A9" s="31" t="n">
        <v>2011</v>
      </c>
      <c r="B9" s="32" t="n">
        <v>809</v>
      </c>
      <c r="C9" s="32" t="n">
        <v>809</v>
      </c>
      <c r="D9" s="38">
        <f>B9-C9</f>
        <v>0</v>
      </c>
      <c r="E9" s="32" t="n">
        <v>485</v>
      </c>
      <c r="F9" s="32" t="n">
        <v>485</v>
      </c>
      <c r="G9" s="38">
        <f>E9-F9</f>
        <v>0</v>
      </c>
      <c r="H9" s="32" t="n">
        <v>401</v>
      </c>
      <c r="I9" s="32" t="n">
        <v>401</v>
      </c>
      <c r="J9" s="38">
        <f>H9-I9</f>
        <v>0</v>
      </c>
      <c r="K9" s="32" t="n">
        <v>322</v>
      </c>
      <c r="L9" s="32" t="n">
        <v>322</v>
      </c>
      <c r="M9" s="38">
        <f>K9-L9</f>
        <v>0</v>
      </c>
      <c r="N9" s="32" t="n">
        <v>787</v>
      </c>
      <c r="O9" s="32" t="n">
        <v>787</v>
      </c>
      <c r="P9" s="38">
        <f>N9-O9</f>
        <v>0</v>
      </c>
      <c r="R9" s="4" t="inlineStr">
        <is>
          <t>From an earlier draft of the article, now only in this workbook: "Every figure here is keyed to ACARA's school ID and checked against the Department's headcount."</t>
        </is>
      </c>
    </row>
    <row r="10">
      <c r="A10" s="31" t="n">
        <v>2012</v>
      </c>
      <c r="B10" s="32" t="n">
        <v>804</v>
      </c>
      <c r="C10" s="32" t="n">
        <v>804</v>
      </c>
      <c r="D10" s="38">
        <f>B10-C10</f>
        <v>0</v>
      </c>
      <c r="E10" s="32" t="n">
        <v>540</v>
      </c>
      <c r="F10" s="32" t="n">
        <v>540</v>
      </c>
      <c r="G10" s="38">
        <f>E10-F10</f>
        <v>0</v>
      </c>
      <c r="H10" s="32" t="n">
        <v>433</v>
      </c>
      <c r="I10" s="32" t="n">
        <v>433</v>
      </c>
      <c r="J10" s="38">
        <f>H10-I10</f>
        <v>0</v>
      </c>
      <c r="K10" s="32" t="n">
        <v>325</v>
      </c>
      <c r="L10" s="32" t="n">
        <v>325</v>
      </c>
      <c r="M10" s="38">
        <f>K10-L10</f>
        <v>0</v>
      </c>
      <c r="N10" s="32" t="n">
        <v>853</v>
      </c>
      <c r="O10" s="32" t="n">
        <v>853</v>
      </c>
      <c r="P10" s="38">
        <f>N10-O10</f>
        <v>0</v>
      </c>
    </row>
    <row r="11">
      <c r="A11" s="31" t="n">
        <v>2013</v>
      </c>
      <c r="B11" s="32" t="n">
        <v>805</v>
      </c>
      <c r="C11" s="32" t="n">
        <v>805</v>
      </c>
      <c r="D11" s="38">
        <f>B11-C11</f>
        <v>0</v>
      </c>
      <c r="E11" s="32" t="n">
        <v>567</v>
      </c>
      <c r="F11" s="32" t="n">
        <v>567</v>
      </c>
      <c r="G11" s="38">
        <f>E11-F11</f>
        <v>0</v>
      </c>
      <c r="H11" s="32" t="n">
        <v>488</v>
      </c>
      <c r="I11" s="32" t="n">
        <v>488</v>
      </c>
      <c r="J11" s="38">
        <f>H11-I11</f>
        <v>0</v>
      </c>
      <c r="K11" s="32" t="n">
        <v>354</v>
      </c>
      <c r="L11" s="32" t="n">
        <v>354</v>
      </c>
      <c r="M11" s="38">
        <f>K11-L11</f>
        <v>0</v>
      </c>
      <c r="N11" s="32" t="n">
        <v>914</v>
      </c>
      <c r="O11" s="32" t="n">
        <v>914</v>
      </c>
      <c r="P11" s="38">
        <f>N11-O11</f>
        <v>0</v>
      </c>
    </row>
    <row r="12">
      <c r="A12" s="31" t="n">
        <v>2014</v>
      </c>
      <c r="B12" s="32" t="n">
        <v>824</v>
      </c>
      <c r="C12" s="32" t="n">
        <v>824</v>
      </c>
      <c r="D12" s="38">
        <f>B12-C12</f>
        <v>0</v>
      </c>
      <c r="E12" s="32" t="n">
        <v>576</v>
      </c>
      <c r="F12" s="32" t="n">
        <v>576</v>
      </c>
      <c r="G12" s="38">
        <f>E12-F12</f>
        <v>0</v>
      </c>
      <c r="H12" s="32" t="n">
        <v>484</v>
      </c>
      <c r="I12" s="32" t="n">
        <v>484</v>
      </c>
      <c r="J12" s="38">
        <f>H12-I12</f>
        <v>0</v>
      </c>
      <c r="K12" s="32" t="n">
        <v>378</v>
      </c>
      <c r="L12" s="32" t="n">
        <v>378</v>
      </c>
      <c r="M12" s="38">
        <f>K12-L12</f>
        <v>0</v>
      </c>
      <c r="N12" s="32" t="n">
        <v>957</v>
      </c>
      <c r="O12" s="32" t="n">
        <v>957</v>
      </c>
      <c r="P12" s="38">
        <f>N12-O12</f>
        <v>0</v>
      </c>
      <c r="R12" s="27" t="inlineStr">
        <is>
          <t>Sources</t>
        </is>
      </c>
    </row>
    <row r="13">
      <c r="A13" s="31" t="n">
        <v>2015</v>
      </c>
      <c r="B13" s="32" t="n">
        <v>812</v>
      </c>
      <c r="C13" s="32" t="n">
        <v>812</v>
      </c>
      <c r="D13" s="38">
        <f>B13-C13</f>
        <v>0</v>
      </c>
      <c r="E13" s="32" t="n">
        <v>595</v>
      </c>
      <c r="F13" s="32" t="n">
        <v>595</v>
      </c>
      <c r="G13" s="38">
        <f>E13-F13</f>
        <v>0</v>
      </c>
      <c r="H13" s="32" t="n">
        <v>496</v>
      </c>
      <c r="I13" s="32" t="n">
        <v>496</v>
      </c>
      <c r="J13" s="38">
        <f>H13-I13</f>
        <v>0</v>
      </c>
      <c r="K13" s="32" t="n">
        <v>377</v>
      </c>
      <c r="L13" s="32" t="n">
        <v>377</v>
      </c>
      <c r="M13" s="38">
        <f>K13-L13</f>
        <v>0</v>
      </c>
      <c r="N13" s="32" t="n">
        <v>1072</v>
      </c>
      <c r="O13" s="32" t="n">
        <v>1072</v>
      </c>
      <c r="P13" s="38">
        <f>N13-O13</f>
        <v>0</v>
      </c>
      <c r="R13" s="42" t="inlineStr">
        <is>
          <t>ACARA Data Access Program: Enrolments by Grade 2008-2025 and School Locations 2025</t>
        </is>
      </c>
    </row>
    <row r="14">
      <c r="A14" s="31" t="n">
        <v>2016</v>
      </c>
      <c r="B14" s="32" t="n">
        <v>840</v>
      </c>
      <c r="C14" s="32" t="n">
        <v>840</v>
      </c>
      <c r="D14" s="38">
        <f>B14-C14</f>
        <v>0</v>
      </c>
      <c r="E14" s="32" t="n">
        <v>579</v>
      </c>
      <c r="F14" s="32" t="n">
        <v>579</v>
      </c>
      <c r="G14" s="38">
        <f>E14-F14</f>
        <v>0</v>
      </c>
      <c r="H14" s="32" t="n">
        <v>495</v>
      </c>
      <c r="I14" s="32" t="n">
        <v>495</v>
      </c>
      <c r="J14" s="38">
        <f>H14-I14</f>
        <v>0</v>
      </c>
      <c r="K14" s="32" t="n">
        <v>437</v>
      </c>
      <c r="L14" s="32" t="n">
        <v>437</v>
      </c>
      <c r="M14" s="38">
        <f>K14-L14</f>
        <v>0</v>
      </c>
      <c r="N14" s="32" t="n">
        <v>1180</v>
      </c>
      <c r="O14" s="32" t="n">
        <v>1180</v>
      </c>
      <c r="P14" s="38">
        <f>N14-O14</f>
        <v>0</v>
      </c>
      <c r="R14" s="42" t="inlineStr">
        <is>
          <t>NSW Department of Education: NSW government school enrolments by head count, 2004-2025</t>
        </is>
      </c>
    </row>
    <row r="15">
      <c r="A15" s="31" t="n">
        <v>2017</v>
      </c>
      <c r="B15" s="32" t="n">
        <v>849</v>
      </c>
      <c r="C15" s="32" t="n">
        <v>849</v>
      </c>
      <c r="D15" s="38">
        <f>B15-C15</f>
        <v>0</v>
      </c>
      <c r="E15" s="32" t="n">
        <v>588</v>
      </c>
      <c r="F15" s="32" t="n">
        <v>588</v>
      </c>
      <c r="G15" s="38">
        <f>E15-F15</f>
        <v>0</v>
      </c>
      <c r="H15" s="32" t="n">
        <v>483</v>
      </c>
      <c r="I15" s="32" t="n">
        <v>483</v>
      </c>
      <c r="J15" s="38">
        <f>H15-I15</f>
        <v>0</v>
      </c>
      <c r="K15" s="32" t="n">
        <v>526</v>
      </c>
      <c r="L15" s="32" t="n">
        <v>526</v>
      </c>
      <c r="M15" s="38">
        <f>K15-L15</f>
        <v>0</v>
      </c>
      <c r="N15" s="32" t="n">
        <v>1250</v>
      </c>
      <c r="O15" s="32" t="n">
        <v>1250</v>
      </c>
      <c r="P15" s="38">
        <f>N15-O15</f>
        <v>0</v>
      </c>
    </row>
    <row r="16">
      <c r="A16" s="31" t="n">
        <v>2018</v>
      </c>
      <c r="B16" s="32" t="n">
        <v>881</v>
      </c>
      <c r="C16" s="32" t="n">
        <v>881</v>
      </c>
      <c r="D16" s="38">
        <f>B16-C16</f>
        <v>0</v>
      </c>
      <c r="E16" s="32" t="n">
        <v>589</v>
      </c>
      <c r="F16" s="32" t="n">
        <v>589</v>
      </c>
      <c r="G16" s="38">
        <f>E16-F16</f>
        <v>0</v>
      </c>
      <c r="H16" s="32" t="n">
        <v>490</v>
      </c>
      <c r="I16" s="32" t="n">
        <v>490</v>
      </c>
      <c r="J16" s="38">
        <f>H16-I16</f>
        <v>0</v>
      </c>
      <c r="K16" s="32" t="n">
        <v>595</v>
      </c>
      <c r="L16" s="32" t="n">
        <v>595</v>
      </c>
      <c r="M16" s="38">
        <f>K16-L16</f>
        <v>0</v>
      </c>
      <c r="N16" s="32" t="n">
        <v>1291</v>
      </c>
      <c r="O16" s="32" t="n">
        <v>1291</v>
      </c>
      <c r="P16" s="38">
        <f>N16-O16</f>
        <v>0</v>
      </c>
    </row>
    <row r="17">
      <c r="A17" s="31" t="n">
        <v>2019</v>
      </c>
      <c r="B17" s="32" t="n">
        <v>867</v>
      </c>
      <c r="C17" s="32" t="n">
        <v>867</v>
      </c>
      <c r="D17" s="38">
        <f>B17-C17</f>
        <v>0</v>
      </c>
      <c r="E17" s="32" t="n">
        <v>613</v>
      </c>
      <c r="F17" s="32" t="n">
        <v>613</v>
      </c>
      <c r="G17" s="38">
        <f>E17-F17</f>
        <v>0</v>
      </c>
      <c r="H17" s="32" t="n">
        <v>487</v>
      </c>
      <c r="I17" s="32" t="n">
        <v>487</v>
      </c>
      <c r="J17" s="38">
        <f>H17-I17</f>
        <v>0</v>
      </c>
      <c r="K17" s="32" t="n">
        <v>636</v>
      </c>
      <c r="L17" s="32" t="n">
        <v>636</v>
      </c>
      <c r="M17" s="38">
        <f>K17-L17</f>
        <v>0</v>
      </c>
      <c r="N17" s="32" t="n">
        <v>1315</v>
      </c>
      <c r="O17" s="32" t="n">
        <v>1315</v>
      </c>
      <c r="P17" s="38">
        <f>N17-O17</f>
        <v>0</v>
      </c>
    </row>
    <row r="18">
      <c r="A18" s="31" t="n">
        <v>2020</v>
      </c>
      <c r="B18" s="32" t="n">
        <v>826</v>
      </c>
      <c r="C18" s="32" t="n">
        <v>826</v>
      </c>
      <c r="D18" s="38">
        <f>B18-C18</f>
        <v>0</v>
      </c>
      <c r="E18" s="32" t="n">
        <v>605</v>
      </c>
      <c r="F18" s="32" t="n">
        <v>605</v>
      </c>
      <c r="G18" s="38">
        <f>E18-F18</f>
        <v>0</v>
      </c>
      <c r="H18" s="32" t="n">
        <v>466</v>
      </c>
      <c r="I18" s="32" t="n">
        <v>466</v>
      </c>
      <c r="J18" s="38">
        <f>H18-I18</f>
        <v>0</v>
      </c>
      <c r="K18" s="32" t="n">
        <v>642</v>
      </c>
      <c r="L18" s="32" t="n">
        <v>642</v>
      </c>
      <c r="M18" s="38">
        <f>K18-L18</f>
        <v>0</v>
      </c>
      <c r="N18" s="32" t="n">
        <v>1343</v>
      </c>
      <c r="O18" s="32" t="n">
        <v>1343</v>
      </c>
      <c r="P18" s="38">
        <f>N18-O18</f>
        <v>0</v>
      </c>
    </row>
    <row r="19">
      <c r="A19" s="31" t="n">
        <v>2021</v>
      </c>
      <c r="B19" s="32" t="n">
        <v>801</v>
      </c>
      <c r="C19" s="32" t="n">
        <v>801</v>
      </c>
      <c r="D19" s="38">
        <f>B19-C19</f>
        <v>0</v>
      </c>
      <c r="E19" s="32" t="n">
        <v>569</v>
      </c>
      <c r="F19" s="32" t="n">
        <v>569</v>
      </c>
      <c r="G19" s="38">
        <f>E19-F19</f>
        <v>0</v>
      </c>
      <c r="H19" s="32" t="n">
        <v>478</v>
      </c>
      <c r="I19" s="32" t="n">
        <v>478</v>
      </c>
      <c r="J19" s="38">
        <f>H19-I19</f>
        <v>0</v>
      </c>
      <c r="K19" s="32" t="n">
        <v>656</v>
      </c>
      <c r="L19" s="32" t="n">
        <v>656</v>
      </c>
      <c r="M19" s="38">
        <f>K19-L19</f>
        <v>0</v>
      </c>
      <c r="N19" s="32" t="n">
        <v>1216</v>
      </c>
      <c r="O19" s="32" t="n">
        <v>1216</v>
      </c>
      <c r="P19" s="38">
        <f>N19-O19</f>
        <v>0</v>
      </c>
    </row>
    <row r="20">
      <c r="A20" s="31" t="n">
        <v>2022</v>
      </c>
      <c r="B20" s="32" t="n">
        <v>769</v>
      </c>
      <c r="C20" s="32" t="n">
        <v>769</v>
      </c>
      <c r="D20" s="38">
        <f>B20-C20</f>
        <v>0</v>
      </c>
      <c r="E20" s="32" t="n">
        <v>531</v>
      </c>
      <c r="F20" s="32" t="n">
        <v>531</v>
      </c>
      <c r="G20" s="38">
        <f>E20-F20</f>
        <v>0</v>
      </c>
      <c r="H20" s="32" t="n">
        <v>470</v>
      </c>
      <c r="I20" s="32" t="n">
        <v>470</v>
      </c>
      <c r="J20" s="38">
        <f>H20-I20</f>
        <v>0</v>
      </c>
      <c r="K20" s="32" t="n">
        <v>674</v>
      </c>
      <c r="L20" s="32" t="n">
        <v>674</v>
      </c>
      <c r="M20" s="38">
        <f>K20-L20</f>
        <v>0</v>
      </c>
      <c r="N20" s="32" t="n">
        <v>1142</v>
      </c>
      <c r="O20" s="32" t="n">
        <v>1142</v>
      </c>
      <c r="P20" s="38">
        <f>N20-O20</f>
        <v>0</v>
      </c>
    </row>
    <row r="21">
      <c r="A21" s="31" t="n">
        <v>2023</v>
      </c>
      <c r="B21" s="32" t="n">
        <v>731</v>
      </c>
      <c r="C21" s="32" t="n">
        <v>731</v>
      </c>
      <c r="D21" s="38">
        <f>B21-C21</f>
        <v>0</v>
      </c>
      <c r="E21" s="32" t="n">
        <v>514</v>
      </c>
      <c r="F21" s="32" t="n">
        <v>514</v>
      </c>
      <c r="G21" s="38">
        <f>E21-F21</f>
        <v>0</v>
      </c>
      <c r="H21" s="32" t="n">
        <v>454</v>
      </c>
      <c r="I21" s="32" t="n">
        <v>454</v>
      </c>
      <c r="J21" s="38">
        <f>H21-I21</f>
        <v>0</v>
      </c>
      <c r="K21" s="32" t="n">
        <v>698</v>
      </c>
      <c r="L21" s="32" t="n">
        <v>698</v>
      </c>
      <c r="M21" s="38">
        <f>K21-L21</f>
        <v>0</v>
      </c>
      <c r="N21" s="32" t="n">
        <v>1132</v>
      </c>
      <c r="O21" s="32" t="n">
        <v>1132</v>
      </c>
      <c r="P21" s="38">
        <f>N21-O21</f>
        <v>0</v>
      </c>
    </row>
    <row r="22">
      <c r="A22" s="31" t="n">
        <v>2024</v>
      </c>
      <c r="B22" s="32" t="n">
        <v>734</v>
      </c>
      <c r="C22" s="32" t="n">
        <v>734</v>
      </c>
      <c r="D22" s="38">
        <f>B22-C22</f>
        <v>0</v>
      </c>
      <c r="E22" s="32" t="n">
        <v>483</v>
      </c>
      <c r="F22" s="32" t="n">
        <v>483</v>
      </c>
      <c r="G22" s="38">
        <f>E22-F22</f>
        <v>0</v>
      </c>
      <c r="H22" s="32" t="n">
        <v>428</v>
      </c>
      <c r="I22" s="32" t="n">
        <v>428</v>
      </c>
      <c r="J22" s="38">
        <f>H22-I22</f>
        <v>0</v>
      </c>
      <c r="K22" s="32" t="n">
        <v>700</v>
      </c>
      <c r="L22" s="32" t="n">
        <v>700</v>
      </c>
      <c r="M22" s="38">
        <f>K22-L22</f>
        <v>0</v>
      </c>
      <c r="N22" s="32" t="n">
        <v>1116</v>
      </c>
      <c r="O22" s="32" t="n">
        <v>1116</v>
      </c>
      <c r="P22" s="38">
        <f>N22-O22</f>
        <v>0</v>
      </c>
    </row>
    <row r="23">
      <c r="A23" s="31" t="n">
        <v>2025</v>
      </c>
      <c r="B23" s="32" t="n">
        <v>688</v>
      </c>
      <c r="C23" s="32" t="n">
        <v>688</v>
      </c>
      <c r="D23" s="38">
        <f>B23-C23</f>
        <v>0</v>
      </c>
      <c r="E23" s="32" t="n">
        <v>474</v>
      </c>
      <c r="F23" s="32" t="n">
        <v>474</v>
      </c>
      <c r="G23" s="38">
        <f>E23-F23</f>
        <v>0</v>
      </c>
      <c r="H23" s="32" t="n">
        <v>367</v>
      </c>
      <c r="I23" s="32" t="n">
        <v>367</v>
      </c>
      <c r="J23" s="38">
        <f>H23-I23</f>
        <v>0</v>
      </c>
      <c r="K23" s="32" t="n">
        <v>714</v>
      </c>
      <c r="L23" s="32" t="n">
        <v>714</v>
      </c>
      <c r="M23" s="38">
        <f>K23-L23</f>
        <v>0</v>
      </c>
      <c r="N23" s="32" t="n">
        <v>1083</v>
      </c>
      <c r="O23" s="32" t="n">
        <v>1083</v>
      </c>
      <c r="P23" s="38">
        <f>N23-O23</f>
        <v>0</v>
      </c>
    </row>
    <row r="24"/>
    <row r="25" ht="28.5" customHeight="1">
      <c r="A25" s="34" t="inlineStr">
        <is>
          <t>Years where the two figures differ</t>
        </is>
      </c>
      <c r="D25" s="33">
        <f>COUNTIF(D7:D23,"&lt;&gt;0")</f>
        <v>0</v>
      </c>
      <c r="G25" s="33">
        <f>COUNTIF(G7:G23,"&lt;&gt;0")</f>
        <v>0</v>
      </c>
      <c r="J25" s="33">
        <f>COUNTIF(J7:J23,"&lt;&gt;0")</f>
        <v>0</v>
      </c>
      <c r="M25" s="33">
        <f>COUNTIF(M7:M23,"&lt;&gt;0")</f>
        <v>0</v>
      </c>
      <c r="P25" s="33">
        <f>COUNTIF(P7:P23,"&lt;&gt;0")</f>
        <v>0</v>
      </c>
    </row>
    <row r="26" ht="28.5" customHeight="1">
      <c r="A26" s="34" t="inlineStr">
        <is>
          <t>All five schools: years that differ</t>
        </is>
      </c>
      <c r="B26" s="33">
        <f>D25+G25+J25+M25+P25</f>
        <v>0</v>
      </c>
    </row>
  </sheetData>
  <mergeCells count="12">
    <mergeCell ref="R9:R10"/>
    <mergeCell ref="B5:D5"/>
    <mergeCell ref="R5:R7"/>
    <mergeCell ref="E5:G5"/>
    <mergeCell ref="K4:M4"/>
    <mergeCell ref="H5:J5"/>
    <mergeCell ref="K5:M5"/>
    <mergeCell ref="B4:D4"/>
    <mergeCell ref="H4:J4"/>
    <mergeCell ref="N5:P5"/>
    <mergeCell ref="E4:G4"/>
    <mergeCell ref="N4:P4"/>
  </mergeCells>
  <hyperlinks>
    <hyperlink xmlns:r="http://schemas.openxmlformats.org/officeDocument/2006/relationships" ref="R5" r:id="rId1"/>
    <hyperlink xmlns:r="http://schemas.openxmlformats.org/officeDocument/2006/relationships" ref="R9" r:id="rId2"/>
    <hyperlink xmlns:r="http://schemas.openxmlformats.org/officeDocument/2006/relationships" ref="R13" r:id="rId3"/>
    <hyperlink xmlns:r="http://schemas.openxmlformats.org/officeDocument/2006/relationships" ref="R14" r:id="rId4"/>
  </hyperlinks>
  <printOptions gridLines="0"/>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M29"/>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3" customWidth="1" min="3" max="3"/>
    <col width="13" customWidth="1" min="4" max="4"/>
    <col width="14" customWidth="1" min="5" max="5"/>
    <col width="13" customWidth="1" min="6" max="6"/>
    <col width="13" customWidth="1" min="7" max="7"/>
    <col width="12" customWidth="1" min="8" max="8"/>
    <col width="12" customWidth="1" min="9" max="9"/>
    <col width="12" customWidth="1" min="10" max="10"/>
    <col width="16" customWidth="1" min="11" max="11"/>
    <col width="3" customWidth="1" min="12" max="12"/>
    <col width="95" customWidth="1" min="13" max="13"/>
  </cols>
  <sheetData>
    <row r="1">
      <c r="A1" s="7" t="inlineStr">
        <is>
          <t>Kindergarten at every school in Lane Cove council area, 2009 to 2025</t>
        </is>
      </c>
    </row>
    <row r="2">
      <c r="A2" s="25" t="inlineStr">
        <is>
          <t>All sectors. Special schools are left out. ACARA, keyed on school ID.</t>
        </is>
      </c>
    </row>
    <row r="3"/>
    <row r="4" ht="56" customHeight="1">
      <c r="A4" s="26" t="inlineStr">
        <is>
          <t>Year</t>
        </is>
      </c>
      <c r="B4" s="26" t="inlineStr">
        <is>
          <t>Lane Cove Public</t>
        </is>
      </c>
      <c r="C4" s="26" t="inlineStr">
        <is>
          <t>Lane Cove West Public</t>
        </is>
      </c>
      <c r="D4" s="26" t="inlineStr">
        <is>
          <t>Greenwich Public</t>
        </is>
      </c>
      <c r="E4" s="26" t="inlineStr">
        <is>
          <t>St Michael's Catholic Primary</t>
        </is>
      </c>
      <c r="F4" s="26" t="inlineStr">
        <is>
          <t>Currambena Primary School</t>
        </is>
      </c>
      <c r="G4" s="26" t="inlineStr">
        <is>
          <t>Government</t>
        </is>
      </c>
      <c r="H4" s="26" t="inlineStr">
        <is>
          <t>Catholic</t>
        </is>
      </c>
      <c r="I4" s="26" t="inlineStr">
        <is>
          <t>Independent</t>
        </is>
      </c>
      <c r="J4" s="26" t="inlineStr">
        <is>
          <t>All sectors</t>
        </is>
      </c>
      <c r="K4" s="26" t="inlineStr">
        <is>
          <t>Four schools in the article's table (all but Currambena)</t>
        </is>
      </c>
      <c r="M4" s="27" t="inlineStr">
        <is>
          <t>In the article</t>
        </is>
      </c>
    </row>
    <row r="5">
      <c r="A5" s="28" t="inlineStr">
        <is>
          <t>ACARA school ID</t>
        </is>
      </c>
      <c r="B5" s="29" t="n">
        <v>41221</v>
      </c>
      <c r="C5" s="29" t="n">
        <v>41260</v>
      </c>
      <c r="D5" s="29" t="n">
        <v>41216</v>
      </c>
      <c r="E5" s="29" t="n">
        <v>43419</v>
      </c>
      <c r="F5" s="29" t="n">
        <v>43734</v>
      </c>
      <c r="G5" s="28" t="inlineStr"/>
      <c r="H5" s="28" t="inlineStr"/>
      <c r="I5" s="28" t="inlineStr"/>
      <c r="J5" s="28" t="inlineStr"/>
      <c r="K5" s="28" t="inlineStr"/>
      <c r="M5" s="30" t="inlineStr">
        <is>
          <t>“In the Lane Cove LGA, St Michael's (Catholic) and Currambena (the only independent school in the LGA with a kindergarten) each took a few fewer kindergarten children in 2025 than in 2016.”</t>
        </is>
      </c>
    </row>
    <row r="6">
      <c r="A6" s="28" t="inlineStr">
        <is>
          <t>Sector</t>
        </is>
      </c>
      <c r="B6" s="28" t="inlineStr">
        <is>
          <t>Government</t>
        </is>
      </c>
      <c r="C6" s="28" t="inlineStr">
        <is>
          <t>Government</t>
        </is>
      </c>
      <c r="D6" s="28" t="inlineStr">
        <is>
          <t>Government</t>
        </is>
      </c>
      <c r="E6" s="28" t="inlineStr">
        <is>
          <t>Catholic</t>
        </is>
      </c>
      <c r="F6" s="28" t="inlineStr">
        <is>
          <t>Independent</t>
        </is>
      </c>
      <c r="G6" s="28" t="inlineStr"/>
      <c r="H6" s="28" t="inlineStr"/>
      <c r="I6" s="28" t="inlineStr"/>
      <c r="J6" s="28" t="inlineStr"/>
      <c r="K6" s="28" t="inlineStr"/>
    </row>
    <row r="7">
      <c r="A7" s="31" t="n">
        <v>2009</v>
      </c>
      <c r="B7" s="32" t="n">
        <v>124</v>
      </c>
      <c r="C7" s="32" t="n">
        <v>88</v>
      </c>
      <c r="D7" s="32" t="n">
        <v>62</v>
      </c>
      <c r="E7" s="32" t="n">
        <v>88</v>
      </c>
      <c r="F7" s="32" t="n">
        <v>23</v>
      </c>
      <c r="G7" s="33">
        <f>SUM(B7:D7)</f>
        <v>274</v>
      </c>
      <c r="H7" s="33">
        <f>E7</f>
        <v>88</v>
      </c>
      <c r="I7" s="33">
        <f>F7</f>
        <v>23</v>
      </c>
      <c r="J7" s="33">
        <f>SUM(B7:F7)</f>
        <v>385</v>
      </c>
      <c r="K7" s="33">
        <f>SUM(B7:E7)</f>
        <v>362</v>
      </c>
    </row>
    <row r="8">
      <c r="A8" s="31" t="n">
        <v>2010</v>
      </c>
      <c r="B8" s="32" t="n">
        <v>126</v>
      </c>
      <c r="C8" s="32" t="n">
        <v>100</v>
      </c>
      <c r="D8" s="32" t="n">
        <v>94</v>
      </c>
      <c r="E8" s="32" t="n">
        <v>85</v>
      </c>
      <c r="F8" s="32" t="n">
        <v>14</v>
      </c>
      <c r="G8" s="33">
        <f>SUM(B8:D8)</f>
        <v>320</v>
      </c>
      <c r="H8" s="33">
        <f>E8</f>
        <v>85</v>
      </c>
      <c r="I8" s="33">
        <f>F8</f>
        <v>14</v>
      </c>
      <c r="J8" s="33">
        <f>SUM(B8:F8)</f>
        <v>419</v>
      </c>
      <c r="K8" s="33">
        <f>SUM(B8:E8)</f>
        <v>405</v>
      </c>
    </row>
    <row r="9">
      <c r="A9" s="31" t="n">
        <v>2011</v>
      </c>
      <c r="B9" s="32" t="n">
        <v>113</v>
      </c>
      <c r="C9" s="32" t="n">
        <v>97</v>
      </c>
      <c r="D9" s="32" t="n">
        <v>76</v>
      </c>
      <c r="E9" s="32" t="n">
        <v>82</v>
      </c>
      <c r="F9" s="32" t="n">
        <v>18</v>
      </c>
      <c r="G9" s="33">
        <f>SUM(B9:D9)</f>
        <v>286</v>
      </c>
      <c r="H9" s="33">
        <f>E9</f>
        <v>82</v>
      </c>
      <c r="I9" s="33">
        <f>F9</f>
        <v>18</v>
      </c>
      <c r="J9" s="33">
        <f>SUM(B9:F9)</f>
        <v>386</v>
      </c>
      <c r="K9" s="33">
        <f>SUM(B9:E9)</f>
        <v>368</v>
      </c>
      <c r="M9" s="27" t="inlineStr">
        <is>
          <t>How the figures are worked out</t>
        </is>
      </c>
    </row>
    <row r="10">
      <c r="A10" s="31" t="n">
        <v>2012</v>
      </c>
      <c r="B10" s="32" t="n">
        <v>131</v>
      </c>
      <c r="C10" s="32" t="n">
        <v>95</v>
      </c>
      <c r="D10" s="32" t="n">
        <v>82</v>
      </c>
      <c r="E10" s="32" t="n">
        <v>93</v>
      </c>
      <c r="F10" s="32" t="n">
        <v>16</v>
      </c>
      <c r="G10" s="33">
        <f>SUM(B10:D10)</f>
        <v>308</v>
      </c>
      <c r="H10" s="33">
        <f>E10</f>
        <v>93</v>
      </c>
      <c r="I10" s="33">
        <f>F10</f>
        <v>16</v>
      </c>
      <c r="J10" s="33">
        <f>SUM(B10:F10)</f>
        <v>417</v>
      </c>
      <c r="K10" s="33">
        <f>SUM(B10:E10)</f>
        <v>401</v>
      </c>
      <c r="M10" s="4" t="inlineStr">
        <is>
          <t>Every school located in Lane Cove council area with kindergarten enrolments. ACARA records no kindergarten enrolments at Saint Ignatius' College (Riverview) in any year from 2008 to 2025. Special schools are left out.</t>
        </is>
      </c>
    </row>
    <row r="11">
      <c r="A11" s="31" t="n">
        <v>2013</v>
      </c>
      <c r="B11" s="32" t="n">
        <v>141</v>
      </c>
      <c r="C11" s="32" t="n">
        <v>91</v>
      </c>
      <c r="D11" s="32" t="n">
        <v>95</v>
      </c>
      <c r="E11" s="32" t="n">
        <v>91</v>
      </c>
      <c r="F11" s="32" t="n">
        <v>16</v>
      </c>
      <c r="G11" s="33">
        <f>SUM(B11:D11)</f>
        <v>327</v>
      </c>
      <c r="H11" s="33">
        <f>E11</f>
        <v>91</v>
      </c>
      <c r="I11" s="33">
        <f>F11</f>
        <v>16</v>
      </c>
      <c r="J11" s="33">
        <f>SUM(B11:F11)</f>
        <v>434</v>
      </c>
      <c r="K11" s="33">
        <f>SUM(B11:E11)</f>
        <v>418</v>
      </c>
    </row>
    <row r="12">
      <c r="A12" s="31" t="n">
        <v>2014</v>
      </c>
      <c r="B12" s="32" t="n">
        <v>128</v>
      </c>
      <c r="C12" s="32" t="n">
        <v>87</v>
      </c>
      <c r="D12" s="32" t="n">
        <v>79</v>
      </c>
      <c r="E12" s="32" t="n">
        <v>86</v>
      </c>
      <c r="F12" s="32" t="n">
        <v>19</v>
      </c>
      <c r="G12" s="33">
        <f>SUM(B12:D12)</f>
        <v>294</v>
      </c>
      <c r="H12" s="33">
        <f>E12</f>
        <v>86</v>
      </c>
      <c r="I12" s="33">
        <f>F12</f>
        <v>19</v>
      </c>
      <c r="J12" s="33">
        <f>SUM(B12:F12)</f>
        <v>399</v>
      </c>
      <c r="K12" s="33">
        <f>SUM(B12:E12)</f>
        <v>380</v>
      </c>
    </row>
    <row r="13">
      <c r="A13" s="31" t="n">
        <v>2015</v>
      </c>
      <c r="B13" s="32" t="n">
        <v>135</v>
      </c>
      <c r="C13" s="32" t="n">
        <v>91</v>
      </c>
      <c r="D13" s="32" t="n">
        <v>86</v>
      </c>
      <c r="E13" s="32" t="n">
        <v>95</v>
      </c>
      <c r="F13" s="32" t="n">
        <v>15</v>
      </c>
      <c r="G13" s="33">
        <f>SUM(B13:D13)</f>
        <v>312</v>
      </c>
      <c r="H13" s="33">
        <f>E13</f>
        <v>95</v>
      </c>
      <c r="I13" s="33">
        <f>F13</f>
        <v>15</v>
      </c>
      <c r="J13" s="33">
        <f>SUM(B13:F13)</f>
        <v>422</v>
      </c>
      <c r="K13" s="33">
        <f>SUM(B13:E13)</f>
        <v>407</v>
      </c>
    </row>
    <row r="14">
      <c r="A14" s="31" t="n">
        <v>2016</v>
      </c>
      <c r="B14" s="32" t="n">
        <v>134</v>
      </c>
      <c r="C14" s="32" t="n">
        <v>74</v>
      </c>
      <c r="D14" s="32" t="n">
        <v>70</v>
      </c>
      <c r="E14" s="32" t="n">
        <v>82</v>
      </c>
      <c r="F14" s="32" t="n">
        <v>17</v>
      </c>
      <c r="G14" s="33">
        <f>SUM(B14:D14)</f>
        <v>278</v>
      </c>
      <c r="H14" s="33">
        <f>E14</f>
        <v>82</v>
      </c>
      <c r="I14" s="33">
        <f>F14</f>
        <v>17</v>
      </c>
      <c r="J14" s="33">
        <f>SUM(B14:F14)</f>
        <v>377</v>
      </c>
      <c r="K14" s="33">
        <f>SUM(B14:E14)</f>
        <v>360</v>
      </c>
      <c r="M14" s="3" t="inlineStr">
        <is>
          <t>Column K is the four council-area schools in the article's table (the same as column J of the Kindergarten sheet): 400 in 2017 and 400 in 2018, then 308, 307 and 286 in 2023 to 2025.</t>
        </is>
      </c>
    </row>
    <row r="15">
      <c r="A15" s="31" t="n">
        <v>2017</v>
      </c>
      <c r="B15" s="32" t="n">
        <v>129</v>
      </c>
      <c r="C15" s="32" t="n">
        <v>95</v>
      </c>
      <c r="D15" s="32" t="n">
        <v>82</v>
      </c>
      <c r="E15" s="32" t="n">
        <v>94</v>
      </c>
      <c r="F15" s="32" t="n">
        <v>17</v>
      </c>
      <c r="G15" s="33">
        <f>SUM(B15:D15)</f>
        <v>306</v>
      </c>
      <c r="H15" s="33">
        <f>E15</f>
        <v>94</v>
      </c>
      <c r="I15" s="33">
        <f>F15</f>
        <v>17</v>
      </c>
      <c r="J15" s="33">
        <f>SUM(B15:F15)</f>
        <v>417</v>
      </c>
      <c r="K15" s="33">
        <f>SUM(B15:E15)</f>
        <v>400</v>
      </c>
    </row>
    <row r="16">
      <c r="A16" s="31" t="n">
        <v>2018</v>
      </c>
      <c r="B16" s="32" t="n">
        <v>146</v>
      </c>
      <c r="C16" s="32" t="n">
        <v>86</v>
      </c>
      <c r="D16" s="32" t="n">
        <v>92</v>
      </c>
      <c r="E16" s="32" t="n">
        <v>76</v>
      </c>
      <c r="F16" s="32" t="n">
        <v>13</v>
      </c>
      <c r="G16" s="33">
        <f>SUM(B16:D16)</f>
        <v>324</v>
      </c>
      <c r="H16" s="33">
        <f>E16</f>
        <v>76</v>
      </c>
      <c r="I16" s="33">
        <f>F16</f>
        <v>13</v>
      </c>
      <c r="J16" s="33">
        <f>SUM(B16:F16)</f>
        <v>413</v>
      </c>
      <c r="K16" s="33">
        <f>SUM(B16:E16)</f>
        <v>400</v>
      </c>
    </row>
    <row r="17">
      <c r="A17" s="31" t="n">
        <v>2019</v>
      </c>
      <c r="B17" s="32" t="n">
        <v>132</v>
      </c>
      <c r="C17" s="32" t="n">
        <v>106</v>
      </c>
      <c r="D17" s="32" t="n">
        <v>85</v>
      </c>
      <c r="E17" s="32" t="n">
        <v>72</v>
      </c>
      <c r="F17" s="32" t="n">
        <v>16</v>
      </c>
      <c r="G17" s="33">
        <f>SUM(B17:D17)</f>
        <v>323</v>
      </c>
      <c r="H17" s="33">
        <f>E17</f>
        <v>72</v>
      </c>
      <c r="I17" s="33">
        <f>F17</f>
        <v>16</v>
      </c>
      <c r="J17" s="33">
        <f>SUM(B17:F17)</f>
        <v>411</v>
      </c>
      <c r="K17" s="33">
        <f>SUM(B17:E17)</f>
        <v>395</v>
      </c>
      <c r="M17" s="3" t="inlineStr">
        <is>
          <t>Column J, all five council-area schools, is the 'council-area schools only' measure on the Resident children ratio sheet. The article's ratio uses five schools with Mowbray instead (see that sheet).</t>
        </is>
      </c>
    </row>
    <row r="18">
      <c r="A18" s="31" t="n">
        <v>2020</v>
      </c>
      <c r="B18" s="32" t="n">
        <v>106</v>
      </c>
      <c r="C18" s="32" t="n">
        <v>95</v>
      </c>
      <c r="D18" s="32" t="n">
        <v>71</v>
      </c>
      <c r="E18" s="32" t="n">
        <v>88</v>
      </c>
      <c r="F18" s="32" t="n">
        <v>11</v>
      </c>
      <c r="G18" s="33">
        <f>SUM(B18:D18)</f>
        <v>272</v>
      </c>
      <c r="H18" s="33">
        <f>E18</f>
        <v>88</v>
      </c>
      <c r="I18" s="33">
        <f>F18</f>
        <v>11</v>
      </c>
      <c r="J18" s="33">
        <f>SUM(B18:F18)</f>
        <v>371</v>
      </c>
      <c r="K18" s="33">
        <f>SUM(B18:E18)</f>
        <v>360</v>
      </c>
    </row>
    <row r="19">
      <c r="A19" s="31" t="n">
        <v>2021</v>
      </c>
      <c r="B19" s="32" t="n">
        <v>127</v>
      </c>
      <c r="C19" s="32" t="n">
        <v>95</v>
      </c>
      <c r="D19" s="32" t="n">
        <v>77</v>
      </c>
      <c r="E19" s="32" t="n">
        <v>100</v>
      </c>
      <c r="F19" s="32" t="n">
        <v>15</v>
      </c>
      <c r="G19" s="33">
        <f>SUM(B19:D19)</f>
        <v>299</v>
      </c>
      <c r="H19" s="33">
        <f>E19</f>
        <v>100</v>
      </c>
      <c r="I19" s="33">
        <f>F19</f>
        <v>15</v>
      </c>
      <c r="J19" s="33">
        <f>SUM(B19:F19)</f>
        <v>414</v>
      </c>
      <c r="K19" s="33">
        <f>SUM(B19:E19)</f>
        <v>399</v>
      </c>
    </row>
    <row r="20">
      <c r="A20" s="31" t="n">
        <v>2022</v>
      </c>
      <c r="B20" s="32" t="n">
        <v>110</v>
      </c>
      <c r="C20" s="32" t="n">
        <v>78</v>
      </c>
      <c r="D20" s="32" t="n">
        <v>64</v>
      </c>
      <c r="E20" s="32" t="n">
        <v>77</v>
      </c>
      <c r="F20" s="32" t="n">
        <v>20</v>
      </c>
      <c r="G20" s="33">
        <f>SUM(B20:D20)</f>
        <v>252</v>
      </c>
      <c r="H20" s="33">
        <f>E20</f>
        <v>77</v>
      </c>
      <c r="I20" s="33">
        <f>F20</f>
        <v>20</v>
      </c>
      <c r="J20" s="33">
        <f>SUM(B20:F20)</f>
        <v>349</v>
      </c>
      <c r="K20" s="33">
        <f>SUM(B20:E20)</f>
        <v>329</v>
      </c>
    </row>
    <row r="21">
      <c r="A21" s="31" t="n">
        <v>2023</v>
      </c>
      <c r="B21" s="32" t="n">
        <v>107</v>
      </c>
      <c r="C21" s="32" t="n">
        <v>69</v>
      </c>
      <c r="D21" s="32" t="n">
        <v>55</v>
      </c>
      <c r="E21" s="32" t="n">
        <v>77</v>
      </c>
      <c r="F21" s="32" t="n">
        <v>15</v>
      </c>
      <c r="G21" s="33">
        <f>SUM(B21:D21)</f>
        <v>231</v>
      </c>
      <c r="H21" s="33">
        <f>E21</f>
        <v>77</v>
      </c>
      <c r="I21" s="33">
        <f>F21</f>
        <v>15</v>
      </c>
      <c r="J21" s="33">
        <f>SUM(B21:F21)</f>
        <v>323</v>
      </c>
      <c r="K21" s="33">
        <f>SUM(B21:E21)</f>
        <v>308</v>
      </c>
      <c r="M21" s="27" t="inlineStr">
        <is>
          <t>Sources</t>
        </is>
      </c>
    </row>
    <row r="22">
      <c r="A22" s="31" t="n">
        <v>2024</v>
      </c>
      <c r="B22" s="32" t="n">
        <v>117</v>
      </c>
      <c r="C22" s="32" t="n">
        <v>60</v>
      </c>
      <c r="D22" s="32" t="n">
        <v>57</v>
      </c>
      <c r="E22" s="32" t="n">
        <v>73</v>
      </c>
      <c r="F22" s="32" t="n">
        <v>12</v>
      </c>
      <c r="G22" s="33">
        <f>SUM(B22:D22)</f>
        <v>234</v>
      </c>
      <c r="H22" s="33">
        <f>E22</f>
        <v>73</v>
      </c>
      <c r="I22" s="33">
        <f>F22</f>
        <v>12</v>
      </c>
      <c r="J22" s="33">
        <f>SUM(B22:F22)</f>
        <v>319</v>
      </c>
      <c r="K22" s="33">
        <f>SUM(B22:E22)</f>
        <v>307</v>
      </c>
      <c r="M22" s="42" t="inlineStr">
        <is>
          <t>ACARA Data Access Program: Enrolments by Grade 2008-2025 and School Locations 2025</t>
        </is>
      </c>
    </row>
    <row r="23">
      <c r="A23" s="31" t="n">
        <v>2025</v>
      </c>
      <c r="B23" s="32" t="n">
        <v>94</v>
      </c>
      <c r="C23" s="32" t="n">
        <v>73</v>
      </c>
      <c r="D23" s="32" t="n">
        <v>41</v>
      </c>
      <c r="E23" s="32" t="n">
        <v>78</v>
      </c>
      <c r="F23" s="32" t="n">
        <v>14</v>
      </c>
      <c r="G23" s="33">
        <f>SUM(B23:D23)</f>
        <v>208</v>
      </c>
      <c r="H23" s="33">
        <f>E23</f>
        <v>78</v>
      </c>
      <c r="I23" s="33">
        <f>F23</f>
        <v>14</v>
      </c>
      <c r="J23" s="33">
        <f>SUM(B23:F23)</f>
        <v>300</v>
      </c>
      <c r="K23" s="33">
        <f>SUM(B23:E23)</f>
        <v>286</v>
      </c>
    </row>
    <row r="24"/>
    <row r="25">
      <c r="A25" s="34" t="inlineStr">
        <is>
          <t>Yearly average, 2016 to 2019</t>
        </is>
      </c>
      <c r="B25" s="44">
        <f>AVERAGE(B14:B17)</f>
        <v>135.25</v>
      </c>
      <c r="C25" s="44">
        <f>AVERAGE(C14:C17)</f>
        <v>90.25</v>
      </c>
      <c r="D25" s="44">
        <f>AVERAGE(D14:D17)</f>
        <v>82.25</v>
      </c>
      <c r="E25" s="44">
        <f>AVERAGE(E14:E17)</f>
        <v>81</v>
      </c>
      <c r="F25" s="44">
        <f>AVERAGE(F14:F17)</f>
        <v>15.75</v>
      </c>
      <c r="G25" s="44">
        <f>AVERAGE(G14:G17)</f>
        <v>307.75</v>
      </c>
      <c r="H25" s="44">
        <f>AVERAGE(H14:H17)</f>
        <v>81</v>
      </c>
      <c r="I25" s="44">
        <f>AVERAGE(I14:I17)</f>
        <v>15.75</v>
      </c>
      <c r="J25" s="44">
        <f>AVERAGE(J14:J17)</f>
        <v>404.5</v>
      </c>
      <c r="K25" s="44">
        <f>AVERAGE(K14:K17)</f>
        <v>388.75</v>
      </c>
    </row>
    <row r="26">
      <c r="A26" s="34" t="inlineStr">
        <is>
          <t>Yearly average, 2023 to 2025</t>
        </is>
      </c>
      <c r="B26" s="44">
        <f>AVERAGE(B21:B23)</f>
        <v>106</v>
      </c>
      <c r="C26" s="44">
        <f>AVERAGE(C21:C23)</f>
        <v>67.3333333333333</v>
      </c>
      <c r="D26" s="44">
        <f>AVERAGE(D21:D23)</f>
        <v>51</v>
      </c>
      <c r="E26" s="44">
        <f>AVERAGE(E21:E23)</f>
        <v>76</v>
      </c>
      <c r="F26" s="44">
        <f>AVERAGE(F21:F23)</f>
        <v>13.6666666666667</v>
      </c>
      <c r="G26" s="44">
        <f>AVERAGE(G21:G23)</f>
        <v>224.333333333333</v>
      </c>
      <c r="H26" s="44">
        <f>AVERAGE(H21:H23)</f>
        <v>76</v>
      </c>
      <c r="I26" s="44">
        <f>AVERAGE(I21:I23)</f>
        <v>13.6666666666667</v>
      </c>
      <c r="J26" s="44">
        <f>AVERAGE(J21:J23)</f>
        <v>314</v>
      </c>
      <c r="K26" s="44">
        <f>AVERAGE(K21:K23)</f>
        <v>300.333333333333</v>
      </c>
    </row>
    <row r="27">
      <c r="A27" s="34" t="inlineStr">
        <is>
          <t>Change in the yearly average</t>
        </is>
      </c>
      <c r="B27" s="37">
        <f>B26/B25-1</f>
        <v>-0.216266173752311</v>
      </c>
      <c r="C27" s="37">
        <f>C26/C25-1</f>
        <v>-0.253924284395199</v>
      </c>
      <c r="D27" s="37">
        <f>D26/D25-1</f>
        <v>-0.379939209726444</v>
      </c>
      <c r="E27" s="37">
        <f>E26/E25-1</f>
        <v>-0.0617283950617285</v>
      </c>
      <c r="F27" s="37">
        <f>F26/F25-1</f>
        <v>-0.132275132275132</v>
      </c>
      <c r="G27" s="37">
        <f>G26/G25-1</f>
        <v>-0.271053344164636</v>
      </c>
      <c r="H27" s="37">
        <f>H26/H25-1</f>
        <v>-0.0617283950617285</v>
      </c>
      <c r="I27" s="37">
        <f>I26/I25-1</f>
        <v>-0.132275132275132</v>
      </c>
      <c r="J27" s="37">
        <f>J26/J25-1</f>
        <v>-0.223733003708282</v>
      </c>
      <c r="K27" s="37">
        <f>K26/K25-1</f>
        <v>-0.227438370846731</v>
      </c>
    </row>
    <row r="28" ht="41.25" customHeight="1">
      <c r="A28" s="34" t="inlineStr">
        <is>
          <t>Independent schools in the council area with a kindergarten</t>
        </is>
      </c>
      <c r="B28" s="33">
        <f>COUNTIF($B$6:$F$6,"Independent")</f>
        <v>1</v>
      </c>
    </row>
    <row r="29">
      <c r="A29" s="34" t="inlineStr">
        <is>
          <t>Change, 2016 to 2025</t>
        </is>
      </c>
      <c r="B29" s="38">
        <f>B23-B14</f>
        <v>-40</v>
      </c>
      <c r="C29" s="38">
        <f>C23-C14</f>
        <v>-1</v>
      </c>
      <c r="D29" s="38">
        <f>D23-D14</f>
        <v>-29</v>
      </c>
      <c r="E29" s="38">
        <f>E23-E14</f>
        <v>-4</v>
      </c>
      <c r="F29" s="38">
        <f>F23-F14</f>
        <v>-3</v>
      </c>
      <c r="G29" s="38">
        <f>G23-G14</f>
        <v>-70</v>
      </c>
      <c r="H29" s="38">
        <f>H23-H14</f>
        <v>-4</v>
      </c>
      <c r="I29" s="38">
        <f>I23-I14</f>
        <v>-3</v>
      </c>
      <c r="J29" s="38">
        <f>J23-J14</f>
        <v>-77</v>
      </c>
      <c r="K29" s="38">
        <f>K23-K14</f>
        <v>-74</v>
      </c>
    </row>
  </sheetData>
  <mergeCells count="4">
    <mergeCell ref="M10:M12"/>
    <mergeCell ref="M5:M7"/>
    <mergeCell ref="M14:M15"/>
    <mergeCell ref="M17:M19"/>
  </mergeCells>
  <hyperlinks>
    <hyperlink xmlns:r="http://schemas.openxmlformats.org/officeDocument/2006/relationships" ref="A2" r:id="rId1"/>
    <hyperlink xmlns:r="http://schemas.openxmlformats.org/officeDocument/2006/relationships" ref="M10" r:id="rId2"/>
    <hyperlink xmlns:r="http://schemas.openxmlformats.org/officeDocument/2006/relationships" ref="M22" r:id="rId3"/>
  </hyperlinks>
  <printOptions gridLines="0"/>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4"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2" customWidth="1" min="16" max="16"/>
    <col width="12" customWidth="1" min="17" max="17"/>
    <col width="12" customWidth="1" min="18" max="18"/>
    <col width="12" customWidth="1" min="19" max="19"/>
    <col width="12" customWidth="1" min="20" max="20"/>
    <col width="3" customWidth="1" min="21" max="21"/>
    <col width="95" customWidth="1" min="22" max="22"/>
  </cols>
  <sheetData>
    <row r="1">
      <c r="A1" s="7" t="inlineStr">
        <is>
          <t>The 15 nearby public primary schools we tracked in April, 2014 to 2025</t>
        </is>
      </c>
    </row>
    <row r="2">
      <c r="A2" s="25" t="inlineStr">
        <is>
          <t>Total enrolments, all year levels including support classes. ACARA, keyed on school ID.</t>
        </is>
      </c>
    </row>
    <row r="3"/>
    <row r="4" ht="42" customHeight="1">
      <c r="A4" s="26" t="inlineStr">
        <is>
          <t>School</t>
        </is>
      </c>
      <c r="B4" s="26" t="inlineStr">
        <is>
          <t>ACARA school ID</t>
        </is>
      </c>
      <c r="C4" s="26" t="inlineStr">
        <is>
          <t>Council area</t>
        </is>
      </c>
      <c r="D4" s="48" t="n">
        <v>2014</v>
      </c>
      <c r="E4" s="48" t="n">
        <v>2015</v>
      </c>
      <c r="F4" s="48" t="n">
        <v>2016</v>
      </c>
      <c r="G4" s="48" t="n">
        <v>2017</v>
      </c>
      <c r="H4" s="48" t="n">
        <v>2018</v>
      </c>
      <c r="I4" s="48" t="n">
        <v>2019</v>
      </c>
      <c r="J4" s="48" t="n">
        <v>2020</v>
      </c>
      <c r="K4" s="48" t="n">
        <v>2021</v>
      </c>
      <c r="L4" s="48" t="n">
        <v>2022</v>
      </c>
      <c r="M4" s="48" t="n">
        <v>2023</v>
      </c>
      <c r="N4" s="48" t="n">
        <v>2024</v>
      </c>
      <c r="O4" s="48" t="n">
        <v>2025</v>
      </c>
      <c r="P4" s="26" t="inlineStr">
        <is>
          <t>Highest, 2014 to 2025</t>
        </is>
      </c>
      <c r="Q4" s="26" t="inlineStr">
        <is>
          <t>Year of that high</t>
        </is>
      </c>
      <c r="R4" s="26" t="inlineStr">
        <is>
          <t>Change, 2024 to 2025</t>
        </is>
      </c>
      <c r="S4" s="26" t="inlineStr">
        <is>
          <t>2025 against that high</t>
        </is>
      </c>
      <c r="T4" s="26" t="inlineStr">
        <is>
          <t>Below its high in 2025?</t>
        </is>
      </c>
      <c r="V4" s="27" t="inlineStr">
        <is>
          <t>In the article</t>
        </is>
      </c>
    </row>
    <row r="5">
      <c r="A5" s="34" t="inlineStr">
        <is>
          <t>Boronia Park Public School</t>
        </is>
      </c>
      <c r="B5" s="49" t="n">
        <v>41200</v>
      </c>
      <c r="C5" s="43" t="inlineStr">
        <is>
          <t>Hunters Hill</t>
        </is>
      </c>
      <c r="D5" s="32" t="n">
        <v>435</v>
      </c>
      <c r="E5" s="32" t="n">
        <v>453</v>
      </c>
      <c r="F5" s="32" t="n">
        <v>488</v>
      </c>
      <c r="G5" s="32" t="n">
        <v>515</v>
      </c>
      <c r="H5" s="32" t="n">
        <v>521</v>
      </c>
      <c r="I5" s="32" t="n">
        <v>541</v>
      </c>
      <c r="J5" s="32" t="n">
        <v>546</v>
      </c>
      <c r="K5" s="32" t="n">
        <v>531</v>
      </c>
      <c r="L5" s="32" t="n">
        <v>506</v>
      </c>
      <c r="M5" s="32" t="n">
        <v>478</v>
      </c>
      <c r="N5" s="32" t="n">
        <v>461</v>
      </c>
      <c r="O5" s="32" t="n">
        <v>409</v>
      </c>
      <c r="P5" s="33">
        <f>MAX(D5:O5)</f>
        <v>546</v>
      </c>
      <c r="Q5" s="40">
        <f>INDEX($D$4:$O$4,MATCH(P5,D5:O5,0))</f>
        <v>2020</v>
      </c>
      <c r="R5" s="38">
        <f>O5-N5</f>
        <v>-52</v>
      </c>
      <c r="S5" s="37">
        <f>O5/P5-1</f>
        <v>-0.250915750915751</v>
      </c>
      <c r="T5" s="41" t="str">
        <f>IF(O5&lt;P5,"Yes","No")</f>
        <v>Yes</v>
      </c>
      <c r="V5" s="30" t="inlineStr">
        <is>
          <t>“All 13 public primaries outside the Lane Cove LGA that we tracked in April (Mowbray was not among them) are below their peak.”</t>
        </is>
      </c>
    </row>
    <row r="6">
      <c r="A6" s="34" t="inlineStr">
        <is>
          <t>Hunters Hill Public School</t>
        </is>
      </c>
      <c r="B6" s="49" t="n">
        <v>41219</v>
      </c>
      <c r="C6" s="43" t="inlineStr">
        <is>
          <t>Hunters Hill</t>
        </is>
      </c>
      <c r="D6" s="32" t="n">
        <v>375</v>
      </c>
      <c r="E6" s="32" t="n">
        <v>377</v>
      </c>
      <c r="F6" s="32" t="n">
        <v>378</v>
      </c>
      <c r="G6" s="32" t="n">
        <v>358</v>
      </c>
      <c r="H6" s="32" t="n">
        <v>359</v>
      </c>
      <c r="I6" s="32" t="n">
        <v>369</v>
      </c>
      <c r="J6" s="32" t="n">
        <v>328</v>
      </c>
      <c r="K6" s="32" t="n">
        <v>321</v>
      </c>
      <c r="L6" s="32" t="n">
        <v>292</v>
      </c>
      <c r="M6" s="32" t="n">
        <v>274</v>
      </c>
      <c r="N6" s="32" t="n">
        <v>265</v>
      </c>
      <c r="O6" s="32" t="n">
        <v>228</v>
      </c>
      <c r="P6" s="33">
        <f>MAX(D6:O6)</f>
        <v>378</v>
      </c>
      <c r="Q6" s="40">
        <f>INDEX($D$4:$O$4,MATCH(P6,D6:O6,0))</f>
        <v>2016</v>
      </c>
      <c r="R6" s="38">
        <f>O6-N6</f>
        <v>-37</v>
      </c>
      <c r="S6" s="37">
        <f>O6/P6-1</f>
        <v>-0.396825396825397</v>
      </c>
      <c r="T6" s="41" t="str">
        <f>IF(O6&lt;P6,"Yes","No")</f>
        <v>Yes</v>
      </c>
    </row>
    <row r="7">
      <c r="A7" s="34" t="inlineStr">
        <is>
          <t>Greenwich Public School</t>
        </is>
      </c>
      <c r="B7" s="49" t="n">
        <v>41216</v>
      </c>
      <c r="C7" s="43" t="inlineStr">
        <is>
          <t>Lane Cove</t>
        </is>
      </c>
      <c r="D7" s="32" t="n">
        <v>484</v>
      </c>
      <c r="E7" s="32" t="n">
        <v>496</v>
      </c>
      <c r="F7" s="32" t="n">
        <v>495</v>
      </c>
      <c r="G7" s="32" t="n">
        <v>483</v>
      </c>
      <c r="H7" s="32" t="n">
        <v>490</v>
      </c>
      <c r="I7" s="32" t="n">
        <v>487</v>
      </c>
      <c r="J7" s="32" t="n">
        <v>466</v>
      </c>
      <c r="K7" s="32" t="n">
        <v>478</v>
      </c>
      <c r="L7" s="32" t="n">
        <v>470</v>
      </c>
      <c r="M7" s="32" t="n">
        <v>454</v>
      </c>
      <c r="N7" s="32" t="n">
        <v>428</v>
      </c>
      <c r="O7" s="32" t="n">
        <v>367</v>
      </c>
      <c r="P7" s="33">
        <f>MAX(D7:O7)</f>
        <v>496</v>
      </c>
      <c r="Q7" s="40">
        <f>INDEX($D$4:$O$4,MATCH(P7,D7:O7,0))</f>
        <v>2015</v>
      </c>
      <c r="R7" s="38">
        <f>O7-N7</f>
        <v>-61</v>
      </c>
      <c r="S7" s="37">
        <f>O7/P7-1</f>
        <v>-0.26008064516129</v>
      </c>
      <c r="T7" s="41" t="str">
        <f>IF(O7&lt;P7,"Yes","No")</f>
        <v>Yes</v>
      </c>
    </row>
    <row r="8">
      <c r="A8" s="34" t="inlineStr">
        <is>
          <t>Lane Cove Public School</t>
        </is>
      </c>
      <c r="B8" s="49" t="n">
        <v>41221</v>
      </c>
      <c r="C8" s="43" t="inlineStr">
        <is>
          <t>Lane Cove</t>
        </is>
      </c>
      <c r="D8" s="32" t="n">
        <v>824</v>
      </c>
      <c r="E8" s="32" t="n">
        <v>812</v>
      </c>
      <c r="F8" s="32" t="n">
        <v>840</v>
      </c>
      <c r="G8" s="32" t="n">
        <v>849</v>
      </c>
      <c r="H8" s="32" t="n">
        <v>881</v>
      </c>
      <c r="I8" s="32" t="n">
        <v>867</v>
      </c>
      <c r="J8" s="32" t="n">
        <v>826</v>
      </c>
      <c r="K8" s="32" t="n">
        <v>801</v>
      </c>
      <c r="L8" s="32" t="n">
        <v>769</v>
      </c>
      <c r="M8" s="32" t="n">
        <v>731</v>
      </c>
      <c r="N8" s="32" t="n">
        <v>734</v>
      </c>
      <c r="O8" s="32" t="n">
        <v>688</v>
      </c>
      <c r="P8" s="33">
        <f>MAX(D8:O8)</f>
        <v>881</v>
      </c>
      <c r="Q8" s="40">
        <f>INDEX($D$4:$O$4,MATCH(P8,D8:O8,0))</f>
        <v>2018</v>
      </c>
      <c r="R8" s="38">
        <f>O8-N8</f>
        <v>-46</v>
      </c>
      <c r="S8" s="37">
        <f>O8/P8-1</f>
        <v>-0.219069239500568</v>
      </c>
      <c r="T8" s="41" t="str">
        <f>IF(O8&lt;P8,"Yes","No")</f>
        <v>Yes</v>
      </c>
      <c r="V8" s="30" t="inlineStr">
        <is>
          <t>“Between them they had 441 fewer students in 2025 than in 2024.”</t>
        </is>
      </c>
    </row>
    <row r="9">
      <c r="A9" s="34" t="inlineStr">
        <is>
          <t>Middle Harbour Public School</t>
        </is>
      </c>
      <c r="B9" s="49" t="n">
        <v>41226</v>
      </c>
      <c r="C9" s="43" t="inlineStr">
        <is>
          <t>Mosman</t>
        </is>
      </c>
      <c r="D9" s="32" t="n">
        <v>563</v>
      </c>
      <c r="E9" s="32" t="n">
        <v>593</v>
      </c>
      <c r="F9" s="32" t="n">
        <v>624</v>
      </c>
      <c r="G9" s="32" t="n">
        <v>642</v>
      </c>
      <c r="H9" s="32" t="n">
        <v>628</v>
      </c>
      <c r="I9" s="32" t="n">
        <v>609</v>
      </c>
      <c r="J9" s="32" t="n">
        <v>571</v>
      </c>
      <c r="K9" s="32" t="n">
        <v>533</v>
      </c>
      <c r="L9" s="32" t="n">
        <v>512</v>
      </c>
      <c r="M9" s="32" t="n">
        <v>481</v>
      </c>
      <c r="N9" s="32" t="n">
        <v>449</v>
      </c>
      <c r="O9" s="32" t="n">
        <v>423</v>
      </c>
      <c r="P9" s="33">
        <f>MAX(D9:O9)</f>
        <v>642</v>
      </c>
      <c r="Q9" s="40">
        <f>INDEX($D$4:$O$4,MATCH(P9,D9:O9,0))</f>
        <v>2017</v>
      </c>
      <c r="R9" s="38">
        <f>O9-N9</f>
        <v>-26</v>
      </c>
      <c r="S9" s="37">
        <f>O9/P9-1</f>
        <v>-0.341121495327103</v>
      </c>
      <c r="T9" s="41" t="str">
        <f>IF(O9&lt;P9,"Yes","No")</f>
        <v>Yes</v>
      </c>
    </row>
    <row r="10">
      <c r="A10" s="34" t="inlineStr">
        <is>
          <t>Mosman Public School</t>
        </is>
      </c>
      <c r="B10" s="49" t="n">
        <v>41318</v>
      </c>
      <c r="C10" s="43" t="inlineStr">
        <is>
          <t>Mosman</t>
        </is>
      </c>
      <c r="D10" s="32" t="n">
        <v>696</v>
      </c>
      <c r="E10" s="32" t="n">
        <v>710</v>
      </c>
      <c r="F10" s="32" t="n">
        <v>687</v>
      </c>
      <c r="G10" s="32" t="n">
        <v>692</v>
      </c>
      <c r="H10" s="32" t="n">
        <v>688</v>
      </c>
      <c r="I10" s="32" t="n">
        <v>668</v>
      </c>
      <c r="J10" s="32" t="n">
        <v>655</v>
      </c>
      <c r="K10" s="32" t="n">
        <v>627</v>
      </c>
      <c r="L10" s="32" t="n">
        <v>583</v>
      </c>
      <c r="M10" s="32" t="n">
        <v>518</v>
      </c>
      <c r="N10" s="32" t="n">
        <v>490</v>
      </c>
      <c r="O10" s="32" t="n">
        <v>458</v>
      </c>
      <c r="P10" s="33">
        <f>MAX(D10:O10)</f>
        <v>710</v>
      </c>
      <c r="Q10" s="40">
        <f>INDEX($D$4:$O$4,MATCH(P10,D10:O10,0))</f>
        <v>2015</v>
      </c>
      <c r="R10" s="38">
        <f>O10-N10</f>
        <v>-32</v>
      </c>
      <c r="S10" s="37">
        <f>O10/P10-1</f>
        <v>-0.354929577464789</v>
      </c>
      <c r="T10" s="41" t="str">
        <f>IF(O10&lt;P10,"Yes","No")</f>
        <v>Yes</v>
      </c>
      <c r="V10" s="27" t="inlineStr">
        <is>
          <t>How the figures are worked out</t>
        </is>
      </c>
    </row>
    <row r="11">
      <c r="A11" s="34" t="inlineStr">
        <is>
          <t>Cammeray Public School</t>
        </is>
      </c>
      <c r="B11" s="49" t="n">
        <v>41203</v>
      </c>
      <c r="C11" s="43" t="inlineStr">
        <is>
          <t>North Sydney</t>
        </is>
      </c>
      <c r="D11" s="32" t="n">
        <v>876</v>
      </c>
      <c r="E11" s="32" t="n">
        <v>924</v>
      </c>
      <c r="F11" s="32" t="n">
        <v>956</v>
      </c>
      <c r="G11" s="32" t="n">
        <v>936</v>
      </c>
      <c r="H11" s="32" t="n">
        <v>920</v>
      </c>
      <c r="I11" s="32" t="n">
        <v>888</v>
      </c>
      <c r="J11" s="32" t="n">
        <v>860</v>
      </c>
      <c r="K11" s="32" t="n">
        <v>784</v>
      </c>
      <c r="L11" s="32" t="n">
        <v>716</v>
      </c>
      <c r="M11" s="32" t="n">
        <v>687</v>
      </c>
      <c r="N11" s="32" t="n">
        <v>643</v>
      </c>
      <c r="O11" s="32" t="n">
        <v>622</v>
      </c>
      <c r="P11" s="33">
        <f>MAX(D11:O11)</f>
        <v>956</v>
      </c>
      <c r="Q11" s="40">
        <f>INDEX($D$4:$O$4,MATCH(P11,D11:O11,0))</f>
        <v>2016</v>
      </c>
      <c r="R11" s="38">
        <f>O11-N11</f>
        <v>-21</v>
      </c>
      <c r="S11" s="37">
        <f>O11/P11-1</f>
        <v>-0.349372384937239</v>
      </c>
      <c r="T11" s="41" t="str">
        <f>IF(O11&lt;P11,"Yes","No")</f>
        <v>Yes</v>
      </c>
      <c r="V11" s="4" t="inlineStr">
        <is>
          <t>The same 15 government primary schools as the April article's comparison, now taken straight from ACARA and keyed on school ID. Peaks use the 2014 to 2025 window.</t>
        </is>
      </c>
    </row>
    <row r="12">
      <c r="A12" s="34" t="inlineStr">
        <is>
          <t>Neutral Bay Public School</t>
        </is>
      </c>
      <c r="B12" s="49" t="n">
        <v>41229</v>
      </c>
      <c r="C12" s="43" t="inlineStr">
        <is>
          <t>North Sydney</t>
        </is>
      </c>
      <c r="D12" s="32" t="n">
        <v>898</v>
      </c>
      <c r="E12" s="32" t="n">
        <v>964</v>
      </c>
      <c r="F12" s="32" t="n">
        <v>986</v>
      </c>
      <c r="G12" s="32" t="n">
        <v>980</v>
      </c>
      <c r="H12" s="32" t="n">
        <v>955</v>
      </c>
      <c r="I12" s="32" t="n">
        <v>959</v>
      </c>
      <c r="J12" s="32" t="n">
        <v>917</v>
      </c>
      <c r="K12" s="32" t="n">
        <v>861</v>
      </c>
      <c r="L12" s="32" t="n">
        <v>812</v>
      </c>
      <c r="M12" s="32" t="n">
        <v>768</v>
      </c>
      <c r="N12" s="32" t="n">
        <v>690</v>
      </c>
      <c r="O12" s="32" t="n">
        <v>641</v>
      </c>
      <c r="P12" s="33">
        <f>MAX(D12:O12)</f>
        <v>986</v>
      </c>
      <c r="Q12" s="40">
        <f>INDEX($D$4:$O$4,MATCH(P12,D12:O12,0))</f>
        <v>2016</v>
      </c>
      <c r="R12" s="38">
        <f>O12-N12</f>
        <v>-49</v>
      </c>
      <c r="S12" s="37">
        <f>O12/P12-1</f>
        <v>-0.349898580121704</v>
      </c>
      <c r="T12" s="41" t="str">
        <f>IF(O12&lt;P12,"Yes","No")</f>
        <v>Yes</v>
      </c>
    </row>
    <row r="13">
      <c r="A13" s="34" t="inlineStr">
        <is>
          <t>North Sydney Public School</t>
        </is>
      </c>
      <c r="B13" s="49" t="n">
        <v>41234</v>
      </c>
      <c r="C13" s="43" t="inlineStr">
        <is>
          <t>North Sydney</t>
        </is>
      </c>
      <c r="D13" s="32" t="n">
        <v>751</v>
      </c>
      <c r="E13" s="32" t="n">
        <v>785</v>
      </c>
      <c r="F13" s="32" t="n">
        <v>816</v>
      </c>
      <c r="G13" s="32" t="n">
        <v>881</v>
      </c>
      <c r="H13" s="32" t="n">
        <v>855</v>
      </c>
      <c r="I13" s="32" t="n">
        <v>887</v>
      </c>
      <c r="J13" s="32" t="n">
        <v>857</v>
      </c>
      <c r="K13" s="32" t="n">
        <v>822</v>
      </c>
      <c r="L13" s="32" t="n">
        <v>768</v>
      </c>
      <c r="M13" s="32" t="n">
        <v>748</v>
      </c>
      <c r="N13" s="32" t="n">
        <v>723</v>
      </c>
      <c r="O13" s="32" t="n">
        <v>756</v>
      </c>
      <c r="P13" s="33">
        <f>MAX(D13:O13)</f>
        <v>887</v>
      </c>
      <c r="Q13" s="40">
        <f>INDEX($D$4:$O$4,MATCH(P13,D13:O13,0))</f>
        <v>2019</v>
      </c>
      <c r="R13" s="38">
        <f>O13-N13</f>
        <v>33</v>
      </c>
      <c r="S13" s="37">
        <f>O13/P13-1</f>
        <v>-0.147688838782413</v>
      </c>
      <c r="T13" s="41" t="str">
        <f>IF(O13&lt;P13,"Yes","No")</f>
        <v>Yes</v>
      </c>
    </row>
    <row r="14">
      <c r="A14" s="34" t="inlineStr">
        <is>
          <t>Gladesville Public School</t>
        </is>
      </c>
      <c r="B14" s="49" t="n">
        <v>41213</v>
      </c>
      <c r="C14" s="43" t="inlineStr">
        <is>
          <t>Ryde</t>
        </is>
      </c>
      <c r="D14" s="32" t="n">
        <v>520</v>
      </c>
      <c r="E14" s="32" t="n">
        <v>507</v>
      </c>
      <c r="F14" s="32" t="n">
        <v>519</v>
      </c>
      <c r="G14" s="32" t="n">
        <v>520</v>
      </c>
      <c r="H14" s="32" t="n">
        <v>532</v>
      </c>
      <c r="I14" s="32" t="n">
        <v>537</v>
      </c>
      <c r="J14" s="32" t="n">
        <v>515</v>
      </c>
      <c r="K14" s="32" t="n">
        <v>471</v>
      </c>
      <c r="L14" s="32" t="n">
        <v>458</v>
      </c>
      <c r="M14" s="32" t="n">
        <v>395</v>
      </c>
      <c r="N14" s="32" t="n">
        <v>352</v>
      </c>
      <c r="O14" s="32" t="n">
        <v>305</v>
      </c>
      <c r="P14" s="33">
        <f>MAX(D14:O14)</f>
        <v>537</v>
      </c>
      <c r="Q14" s="40">
        <f>INDEX($D$4:$O$4,MATCH(P14,D14:O14,0))</f>
        <v>2019</v>
      </c>
      <c r="R14" s="38">
        <f>O14-N14</f>
        <v>-47</v>
      </c>
      <c r="S14" s="37">
        <f>O14/P14-1</f>
        <v>-0.432029795158287</v>
      </c>
      <c r="T14" s="41" t="str">
        <f>IF(O14&lt;P14,"Yes","No")</f>
        <v>Yes</v>
      </c>
      <c r="V14" s="3" t="inlineStr">
        <is>
          <t>Two of the 15, Lane Cove Public and Greenwich Public, are inside Lane Cove council area. The article's comparison is the other 13 (the row below the 15-school total, worked out with SUMIF on column C, and the counts under it).</t>
        </is>
      </c>
    </row>
    <row r="15">
      <c r="A15" s="34" t="inlineStr">
        <is>
          <t>Putney Public School</t>
        </is>
      </c>
      <c r="B15" s="49" t="n">
        <v>41237</v>
      </c>
      <c r="C15" s="43" t="inlineStr">
        <is>
          <t>Ryde</t>
        </is>
      </c>
      <c r="D15" s="32" t="n">
        <v>472</v>
      </c>
      <c r="E15" s="32" t="n">
        <v>481</v>
      </c>
      <c r="F15" s="32" t="n">
        <v>482</v>
      </c>
      <c r="G15" s="32" t="n">
        <v>470</v>
      </c>
      <c r="H15" s="32" t="n">
        <v>452</v>
      </c>
      <c r="I15" s="32" t="n">
        <v>484</v>
      </c>
      <c r="J15" s="32" t="n">
        <v>493</v>
      </c>
      <c r="K15" s="32" t="n">
        <v>479</v>
      </c>
      <c r="L15" s="32" t="n">
        <v>449</v>
      </c>
      <c r="M15" s="32" t="n">
        <v>417</v>
      </c>
      <c r="N15" s="32" t="n">
        <v>398</v>
      </c>
      <c r="O15" s="32" t="n">
        <v>357</v>
      </c>
      <c r="P15" s="33">
        <f>MAX(D15:O15)</f>
        <v>493</v>
      </c>
      <c r="Q15" s="40">
        <f>INDEX($D$4:$O$4,MATCH(P15,D15:O15,0))</f>
        <v>2020</v>
      </c>
      <c r="R15" s="38">
        <f>O15-N15</f>
        <v>-41</v>
      </c>
      <c r="S15" s="37">
        <f>O15/P15-1</f>
        <v>-0.275862068965517</v>
      </c>
      <c r="T15" s="41" t="str">
        <f>IF(O15&lt;P15,"Yes","No")</f>
        <v>Yes</v>
      </c>
    </row>
    <row r="16">
      <c r="A16" s="34" t="inlineStr">
        <is>
          <t>Artarmon Public School</t>
        </is>
      </c>
      <c r="B16" s="49" t="n">
        <v>41195</v>
      </c>
      <c r="C16" s="43" t="inlineStr">
        <is>
          <t>Willoughby</t>
        </is>
      </c>
      <c r="D16" s="32" t="n">
        <v>980</v>
      </c>
      <c r="E16" s="32" t="n">
        <v>1085</v>
      </c>
      <c r="F16" s="32" t="n">
        <v>1125</v>
      </c>
      <c r="G16" s="32" t="n">
        <v>1173</v>
      </c>
      <c r="H16" s="32" t="n">
        <v>1175</v>
      </c>
      <c r="I16" s="32" t="n">
        <v>1248</v>
      </c>
      <c r="J16" s="32" t="n">
        <v>1278</v>
      </c>
      <c r="K16" s="32" t="n">
        <v>1260</v>
      </c>
      <c r="L16" s="32" t="n">
        <v>1237</v>
      </c>
      <c r="M16" s="32" t="n">
        <v>1195</v>
      </c>
      <c r="N16" s="32" t="n">
        <v>1157</v>
      </c>
      <c r="O16" s="32" t="n">
        <v>1063</v>
      </c>
      <c r="P16" s="33">
        <f>MAX(D16:O16)</f>
        <v>1278</v>
      </c>
      <c r="Q16" s="40">
        <f>INDEX($D$4:$O$4,MATCH(P16,D16:O16,0))</f>
        <v>2020</v>
      </c>
      <c r="R16" s="38">
        <f>O16-N16</f>
        <v>-94</v>
      </c>
      <c r="S16" s="37">
        <f>O16/P16-1</f>
        <v>-0.168231611893584</v>
      </c>
      <c r="T16" s="41" t="str">
        <f>IF(O16&lt;P16,"Yes","No")</f>
        <v>Yes</v>
      </c>
    </row>
    <row r="17">
      <c r="A17" s="34" t="inlineStr">
        <is>
          <t>Chatswood Public School</t>
        </is>
      </c>
      <c r="B17" s="49" t="n">
        <v>41316</v>
      </c>
      <c r="C17" s="43" t="inlineStr">
        <is>
          <t>Willoughby</t>
        </is>
      </c>
      <c r="D17" s="32" t="n">
        <v>957</v>
      </c>
      <c r="E17" s="32" t="n">
        <v>1072</v>
      </c>
      <c r="F17" s="32" t="n">
        <v>1180</v>
      </c>
      <c r="G17" s="32" t="n">
        <v>1250</v>
      </c>
      <c r="H17" s="32" t="n">
        <v>1291</v>
      </c>
      <c r="I17" s="32" t="n">
        <v>1315</v>
      </c>
      <c r="J17" s="32" t="n">
        <v>1343</v>
      </c>
      <c r="K17" s="32" t="n">
        <v>1216</v>
      </c>
      <c r="L17" s="32" t="n">
        <v>1142</v>
      </c>
      <c r="M17" s="32" t="n">
        <v>1132</v>
      </c>
      <c r="N17" s="32" t="n">
        <v>1116</v>
      </c>
      <c r="O17" s="32" t="n">
        <v>1083</v>
      </c>
      <c r="P17" s="33">
        <f>MAX(D17:O17)</f>
        <v>1343</v>
      </c>
      <c r="Q17" s="40">
        <f>INDEX($D$4:$O$4,MATCH(P17,D17:O17,0))</f>
        <v>2020</v>
      </c>
      <c r="R17" s="38">
        <f>O17-N17</f>
        <v>-33</v>
      </c>
      <c r="S17" s="37">
        <f>O17/P17-1</f>
        <v>-0.193596425912137</v>
      </c>
      <c r="T17" s="41" t="str">
        <f>IF(O17&lt;P17,"Yes","No")</f>
        <v>Yes</v>
      </c>
    </row>
    <row r="18">
      <c r="A18" s="34" t="inlineStr">
        <is>
          <t>Northbridge Public School</t>
        </is>
      </c>
      <c r="B18" s="49" t="n">
        <v>41232</v>
      </c>
      <c r="C18" s="43" t="inlineStr">
        <is>
          <t>Willoughby</t>
        </is>
      </c>
      <c r="D18" s="32" t="n">
        <v>555</v>
      </c>
      <c r="E18" s="32" t="n">
        <v>555</v>
      </c>
      <c r="F18" s="32" t="n">
        <v>573</v>
      </c>
      <c r="G18" s="32" t="n">
        <v>542</v>
      </c>
      <c r="H18" s="32" t="n">
        <v>534</v>
      </c>
      <c r="I18" s="32" t="n">
        <v>519</v>
      </c>
      <c r="J18" s="32" t="n">
        <v>519</v>
      </c>
      <c r="K18" s="32" t="n">
        <v>481</v>
      </c>
      <c r="L18" s="32" t="n">
        <v>478</v>
      </c>
      <c r="M18" s="32" t="n">
        <v>438</v>
      </c>
      <c r="N18" s="32" t="n">
        <v>408</v>
      </c>
      <c r="O18" s="32" t="n">
        <v>364</v>
      </c>
      <c r="P18" s="33">
        <f>MAX(D18:O18)</f>
        <v>573</v>
      </c>
      <c r="Q18" s="40">
        <f>INDEX($D$4:$O$4,MATCH(P18,D18:O18,0))</f>
        <v>2016</v>
      </c>
      <c r="R18" s="38">
        <f>O18-N18</f>
        <v>-44</v>
      </c>
      <c r="S18" s="37">
        <f>O18/P18-1</f>
        <v>-0.364746945898778</v>
      </c>
      <c r="T18" s="41" t="str">
        <f>IF(O18&lt;P18,"Yes","No")</f>
        <v>Yes</v>
      </c>
      <c r="V18" s="3" t="inlineStr">
        <is>
          <t>Two schools grew in 2025 but are still below their 2014 to 2025 high: North Sydney Public (up 33 on 2024; 2019 high) and Willoughby Public (up 2 on 2024; 2016 high).</t>
        </is>
      </c>
    </row>
    <row r="19">
      <c r="A19" s="34" t="inlineStr">
        <is>
          <t>Willoughby Public School</t>
        </is>
      </c>
      <c r="B19" s="49" t="n">
        <v>41246</v>
      </c>
      <c r="C19" s="43" t="inlineStr">
        <is>
          <t>Willoughby</t>
        </is>
      </c>
      <c r="D19" s="32" t="n">
        <v>994</v>
      </c>
      <c r="E19" s="32" t="n">
        <v>1045</v>
      </c>
      <c r="F19" s="32" t="n">
        <v>1091</v>
      </c>
      <c r="G19" s="32" t="n">
        <v>1079</v>
      </c>
      <c r="H19" s="32" t="n">
        <v>1046</v>
      </c>
      <c r="I19" s="32" t="n">
        <v>1047</v>
      </c>
      <c r="J19" s="32" t="n">
        <v>1003</v>
      </c>
      <c r="K19" s="32" t="n">
        <v>982</v>
      </c>
      <c r="L19" s="32" t="n">
        <v>939</v>
      </c>
      <c r="M19" s="32" t="n">
        <v>911</v>
      </c>
      <c r="N19" s="32" t="n">
        <v>903</v>
      </c>
      <c r="O19" s="32" t="n">
        <v>905</v>
      </c>
      <c r="P19" s="33">
        <f>MAX(D19:O19)</f>
        <v>1091</v>
      </c>
      <c r="Q19" s="40">
        <f>INDEX($D$4:$O$4,MATCH(P19,D19:O19,0))</f>
        <v>2016</v>
      </c>
      <c r="R19" s="38">
        <f>O19-N19</f>
        <v>2</v>
      </c>
      <c r="S19" s="37">
        <f>O19/P19-1</f>
        <v>-0.170485792850596</v>
      </c>
      <c r="T19" s="41" t="str">
        <f>IF(O19&lt;P19,"Yes","No")</f>
        <v>Yes</v>
      </c>
    </row>
    <row r="20">
      <c r="A20" s="34" t="inlineStr">
        <is>
          <t>All 15 schools</t>
        </is>
      </c>
      <c r="B20" s="43" t="inlineStr"/>
      <c r="C20" s="43" t="inlineStr"/>
      <c r="D20" s="33">
        <f>SUM(D5:D19)</f>
        <v>10380</v>
      </c>
      <c r="E20" s="33">
        <f>SUM(E5:E19)</f>
        <v>10859</v>
      </c>
      <c r="F20" s="33">
        <f>SUM(F5:F19)</f>
        <v>11240</v>
      </c>
      <c r="G20" s="33">
        <f>SUM(G5:G19)</f>
        <v>11370</v>
      </c>
      <c r="H20" s="33">
        <f>SUM(H5:H19)</f>
        <v>11327</v>
      </c>
      <c r="I20" s="33">
        <f>SUM(I5:I19)</f>
        <v>11425</v>
      </c>
      <c r="J20" s="33">
        <f>SUM(J5:J19)</f>
        <v>11177</v>
      </c>
      <c r="K20" s="33">
        <f>SUM(K5:K19)</f>
        <v>10647</v>
      </c>
      <c r="L20" s="33">
        <f>SUM(L5:L19)</f>
        <v>10131</v>
      </c>
      <c r="M20" s="33">
        <f>SUM(M5:M19)</f>
        <v>9627</v>
      </c>
      <c r="N20" s="33">
        <f>SUM(N5:N19)</f>
        <v>9217</v>
      </c>
      <c r="O20" s="33">
        <f>SUM(O5:O19)</f>
        <v>8669</v>
      </c>
      <c r="R20" s="38">
        <f>O20-N20</f>
        <v>-548</v>
      </c>
      <c r="T20" s="33">
        <f>COUNTIF(T5:T19,"Yes")</f>
        <v>15</v>
      </c>
    </row>
    <row r="21" ht="28.5" customHeight="1">
      <c r="A21" s="34" t="inlineStr">
        <is>
          <t>The 13 outside Lane Cove council area</t>
        </is>
      </c>
      <c r="B21" s="43" t="inlineStr"/>
      <c r="C21" s="43" t="inlineStr"/>
      <c r="D21" s="33">
        <f>SUMIF($C$5:$C$19,"&lt;&gt;Lane Cove",D5:D19)</f>
        <v>9072</v>
      </c>
      <c r="E21" s="33">
        <f>SUMIF($C$5:$C$19,"&lt;&gt;Lane Cove",E5:E19)</f>
        <v>9551</v>
      </c>
      <c r="F21" s="33">
        <f>SUMIF($C$5:$C$19,"&lt;&gt;Lane Cove",F5:F19)</f>
        <v>9905</v>
      </c>
      <c r="G21" s="33">
        <f>SUMIF($C$5:$C$19,"&lt;&gt;Lane Cove",G5:G19)</f>
        <v>10038</v>
      </c>
      <c r="H21" s="33">
        <f>SUMIF($C$5:$C$19,"&lt;&gt;Lane Cove",H5:H19)</f>
        <v>9956</v>
      </c>
      <c r="I21" s="33">
        <f>SUMIF($C$5:$C$19,"&lt;&gt;Lane Cove",I5:I19)</f>
        <v>10071</v>
      </c>
      <c r="J21" s="33">
        <f>SUMIF($C$5:$C$19,"&lt;&gt;Lane Cove",J5:J19)</f>
        <v>9885</v>
      </c>
      <c r="K21" s="33">
        <f>SUMIF($C$5:$C$19,"&lt;&gt;Lane Cove",K5:K19)</f>
        <v>9368</v>
      </c>
      <c r="L21" s="33">
        <f>SUMIF($C$5:$C$19,"&lt;&gt;Lane Cove",L5:L19)</f>
        <v>8892</v>
      </c>
      <c r="M21" s="33">
        <f>SUMIF($C$5:$C$19,"&lt;&gt;Lane Cove",M5:M19)</f>
        <v>8442</v>
      </c>
      <c r="N21" s="33">
        <f>SUMIF($C$5:$C$19,"&lt;&gt;Lane Cove",N5:N19)</f>
        <v>8055</v>
      </c>
      <c r="O21" s="33">
        <f>SUMIF($C$5:$C$19,"&lt;&gt;Lane Cove",O5:O19)</f>
        <v>7614</v>
      </c>
      <c r="P21" s="43" t="n"/>
      <c r="Q21" s="43" t="n"/>
      <c r="R21" s="38">
        <f>O21-N21</f>
        <v>-441</v>
      </c>
      <c r="S21" s="43" t="n"/>
      <c r="T21" s="43" t="n"/>
      <c r="V21" s="3" t="inlineStr">
        <is>
          <t>Mowbray Public was not one of the 15 schools tracked in April. Its figures are on the School totals and Kindergarten sheets.</t>
        </is>
      </c>
    </row>
    <row r="22"/>
    <row r="23">
      <c r="A23" s="26" t="inlineStr">
        <is>
          <t>Counts</t>
        </is>
      </c>
      <c r="B23" s="26" t="inlineStr">
        <is>
          <t>Result</t>
        </is>
      </c>
    </row>
    <row r="24">
      <c r="A24" s="34" t="inlineStr">
        <is>
          <t>Schools tracked in April</t>
        </is>
      </c>
      <c r="B24" s="33">
        <f>COUNT(B5:B19)</f>
        <v>15</v>
      </c>
      <c r="V24" s="27" t="inlineStr">
        <is>
          <t>Sources</t>
        </is>
      </c>
    </row>
    <row r="25" ht="28.5" customHeight="1">
      <c r="A25" s="34" t="inlineStr">
        <is>
          <t>Of those, outside Lane Cove council area</t>
        </is>
      </c>
      <c r="B25" s="33">
        <f>COUNTIF($C$5:$C$19,"&lt;&gt;Lane Cove")</f>
        <v>13</v>
      </c>
      <c r="V25" s="42" t="inlineStr">
        <is>
          <t>ACARA Data Access Program: Enrolments by Grade 2008-2025 and School Locations 2025</t>
        </is>
      </c>
    </row>
    <row r="26" ht="41.25" customHeight="1">
      <c r="A26" s="34" t="inlineStr">
        <is>
          <t>Outside the council area and below their 2014 to 2025 high in 2025</t>
        </is>
      </c>
      <c r="B26" s="33">
        <f>COUNTIFS($C$5:$C$19,"&lt;&gt;Lane Cove",T5:T19,"Yes")</f>
        <v>13</v>
      </c>
      <c r="V26" s="42" t="inlineStr">
        <is>
          <t>In the Cove, April 2026: Lane Cove Schools, Part 1</t>
        </is>
      </c>
    </row>
    <row r="27" ht="41.25" customHeight="1">
      <c r="A27" s="34" t="inlineStr">
        <is>
          <t>Outside the council area with fewer students in 2025 than in 2024</t>
        </is>
      </c>
      <c r="B27" s="33">
        <f>COUNTIFS($C$5:$C$19,"&lt;&gt;Lane Cove",R5:R19,"&lt;0")</f>
        <v>11</v>
      </c>
    </row>
  </sheetData>
  <mergeCells count="5">
    <mergeCell ref="V14:V16"/>
    <mergeCell ref="V21:V22"/>
    <mergeCell ref="V11:V12"/>
    <mergeCell ref="V5:V6"/>
    <mergeCell ref="V18:V19"/>
  </mergeCells>
  <hyperlinks>
    <hyperlink xmlns:r="http://schemas.openxmlformats.org/officeDocument/2006/relationships" ref="A2" r:id="rId1"/>
    <hyperlink xmlns:r="http://schemas.openxmlformats.org/officeDocument/2006/relationships" ref="V11" r:id="rId2"/>
    <hyperlink xmlns:r="http://schemas.openxmlformats.org/officeDocument/2006/relationships" ref="V25" r:id="rId3"/>
    <hyperlink xmlns:r="http://schemas.openxmlformats.org/officeDocument/2006/relationships" ref="V26" r:id="rId4"/>
  </hyperlinks>
  <printOptions gridLines="0"/>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G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3" customWidth="1" min="6" max="6"/>
    <col width="95" customWidth="1" min="7" max="7"/>
  </cols>
  <sheetData>
    <row r="1">
      <c r="A1" s="7" t="inlineStr">
        <is>
          <t>NSW primary school students by sector, 2006 to 2025</t>
        </is>
      </c>
    </row>
    <row r="2">
      <c r="A2" s="25" t="inlineStr">
        <is>
          <t>Full-time and part-time primary students. ABS Schools, Table 42b.</t>
        </is>
      </c>
    </row>
    <row r="3"/>
    <row r="4">
      <c r="A4" s="26" t="inlineStr">
        <is>
          <t>Year</t>
        </is>
      </c>
      <c r="B4" s="26" t="inlineStr">
        <is>
          <t>Government</t>
        </is>
      </c>
      <c r="C4" s="26" t="inlineStr">
        <is>
          <t>Catholic</t>
        </is>
      </c>
      <c r="D4" s="26" t="inlineStr">
        <is>
          <t>Independent</t>
        </is>
      </c>
      <c r="E4" s="26" t="inlineStr">
        <is>
          <t>All sectors</t>
        </is>
      </c>
      <c r="G4" s="27" t="inlineStr">
        <is>
          <t>In the article</t>
        </is>
      </c>
    </row>
    <row r="5">
      <c r="A5" s="31" t="n">
        <v>2006</v>
      </c>
      <c r="B5" s="32" t="n">
        <v>434366</v>
      </c>
      <c r="C5" s="32" t="n">
        <v>124964</v>
      </c>
      <c r="D5" s="32" t="n">
        <v>61033</v>
      </c>
      <c r="E5" s="33">
        <f>SUM(B5:D5)</f>
        <v>620363</v>
      </c>
      <c r="G5" s="30" t="inlineStr">
        <is>
          <t>“Statewide, NSW government primary enrolments peaked in 2019 at 495,738 and were 459,957 in 2025, according to the ABS.”</t>
        </is>
      </c>
    </row>
    <row r="6">
      <c r="A6" s="31" t="n">
        <v>2007</v>
      </c>
      <c r="B6" s="32" t="n">
        <v>431618</v>
      </c>
      <c r="C6" s="32" t="n">
        <v>124911</v>
      </c>
      <c r="D6" s="32" t="n">
        <v>62005</v>
      </c>
      <c r="E6" s="33">
        <f>SUM(B6:D6)</f>
        <v>618534</v>
      </c>
    </row>
    <row r="7">
      <c r="A7" s="31" t="n">
        <v>2008</v>
      </c>
      <c r="B7" s="32" t="n">
        <v>430057</v>
      </c>
      <c r="C7" s="32" t="n">
        <v>124135</v>
      </c>
      <c r="D7" s="32" t="n">
        <v>63487</v>
      </c>
      <c r="E7" s="33">
        <f>SUM(B7:D7)</f>
        <v>617679</v>
      </c>
    </row>
    <row r="8">
      <c r="A8" s="31" t="n">
        <v>2009</v>
      </c>
      <c r="B8" s="32" t="n">
        <v>430817</v>
      </c>
      <c r="C8" s="32" t="n">
        <v>123787</v>
      </c>
      <c r="D8" s="32" t="n">
        <v>64241</v>
      </c>
      <c r="E8" s="33">
        <f>SUM(B8:D8)</f>
        <v>618845</v>
      </c>
      <c r="G8" s="27" t="inlineStr">
        <is>
          <t>How the figures are worked out</t>
        </is>
      </c>
    </row>
    <row r="9">
      <c r="A9" s="31" t="n">
        <v>2010</v>
      </c>
      <c r="B9" s="32" t="n">
        <v>432060</v>
      </c>
      <c r="C9" s="32" t="n">
        <v>124222</v>
      </c>
      <c r="D9" s="32" t="n">
        <v>65053</v>
      </c>
      <c r="E9" s="33">
        <f>SUM(B9:D9)</f>
        <v>621335</v>
      </c>
      <c r="G9" s="3" t="inlineStr">
        <is>
          <t>The statewide government peak is taken over the whole published series, 2006 to 2025 (the school-level peaks on other sheets use 2014 to 2025).</t>
        </is>
      </c>
    </row>
    <row r="10">
      <c r="A10" s="31" t="n">
        <v>2011</v>
      </c>
      <c r="B10" s="32" t="n">
        <v>435749</v>
      </c>
      <c r="C10" s="32" t="n">
        <v>125386</v>
      </c>
      <c r="D10" s="32" t="n">
        <v>66350</v>
      </c>
      <c r="E10" s="33">
        <f>SUM(B10:D10)</f>
        <v>627485</v>
      </c>
    </row>
    <row r="11">
      <c r="A11" s="31" t="n">
        <v>2012</v>
      </c>
      <c r="B11" s="32" t="n">
        <v>440549</v>
      </c>
      <c r="C11" s="32" t="n">
        <v>126839</v>
      </c>
      <c r="D11" s="32" t="n">
        <v>67822</v>
      </c>
      <c r="E11" s="33">
        <f>SUM(B11:D11)</f>
        <v>635210</v>
      </c>
    </row>
    <row r="12">
      <c r="A12" s="31" t="n">
        <v>2013</v>
      </c>
      <c r="B12" s="32" t="n">
        <v>448759</v>
      </c>
      <c r="C12" s="32" t="n">
        <v>128772</v>
      </c>
      <c r="D12" s="32" t="n">
        <v>69656</v>
      </c>
      <c r="E12" s="33">
        <f>SUM(B12:D12)</f>
        <v>647187</v>
      </c>
      <c r="G12" s="27" t="inlineStr">
        <is>
          <t>Sources</t>
        </is>
      </c>
    </row>
    <row r="13">
      <c r="A13" s="31" t="n">
        <v>2014</v>
      </c>
      <c r="B13" s="32" t="n">
        <v>458130</v>
      </c>
      <c r="C13" s="32" t="n">
        <v>129548</v>
      </c>
      <c r="D13" s="32" t="n">
        <v>71165</v>
      </c>
      <c r="E13" s="33">
        <f>SUM(B13:D13)</f>
        <v>658843</v>
      </c>
      <c r="G13" s="42" t="inlineStr">
        <is>
          <t>ABS Schools 2025, Table 42b: full-time and part-time students, 2006-2025</t>
        </is>
      </c>
    </row>
    <row r="14">
      <c r="A14" s="31" t="n">
        <v>2015</v>
      </c>
      <c r="B14" s="32" t="n">
        <v>467815</v>
      </c>
      <c r="C14" s="32" t="n">
        <v>130397</v>
      </c>
      <c r="D14" s="32" t="n">
        <v>72541</v>
      </c>
      <c r="E14" s="33">
        <f>SUM(B14:D14)</f>
        <v>670753</v>
      </c>
    </row>
    <row r="15">
      <c r="A15" s="31" t="n">
        <v>2016</v>
      </c>
      <c r="B15" s="32" t="n">
        <v>477098</v>
      </c>
      <c r="C15" s="32" t="n">
        <v>130465</v>
      </c>
      <c r="D15" s="32" t="n">
        <v>74058</v>
      </c>
      <c r="E15" s="33">
        <f>SUM(B15:D15)</f>
        <v>681621</v>
      </c>
    </row>
    <row r="16">
      <c r="A16" s="31" t="n">
        <v>2017</v>
      </c>
      <c r="B16" s="32" t="n">
        <v>486730</v>
      </c>
      <c r="C16" s="32" t="n">
        <v>130671</v>
      </c>
      <c r="D16" s="32" t="n">
        <v>76168</v>
      </c>
      <c r="E16" s="33">
        <f>SUM(B16:D16)</f>
        <v>693569</v>
      </c>
    </row>
    <row r="17">
      <c r="A17" s="31" t="n">
        <v>2018</v>
      </c>
      <c r="B17" s="32" t="n">
        <v>493138</v>
      </c>
      <c r="C17" s="32" t="n">
        <v>130141</v>
      </c>
      <c r="D17" s="32" t="n">
        <v>78392</v>
      </c>
      <c r="E17" s="33">
        <f>SUM(B17:D17)</f>
        <v>701671</v>
      </c>
    </row>
    <row r="18">
      <c r="A18" s="31" t="n">
        <v>2019</v>
      </c>
      <c r="B18" s="32" t="n">
        <v>495738</v>
      </c>
      <c r="C18" s="32" t="n">
        <v>129874</v>
      </c>
      <c r="D18" s="32" t="n">
        <v>80547</v>
      </c>
      <c r="E18" s="33">
        <f>SUM(B18:D18)</f>
        <v>706159</v>
      </c>
    </row>
    <row r="19">
      <c r="A19" s="31" t="n">
        <v>2020</v>
      </c>
      <c r="B19" s="32" t="n">
        <v>494535</v>
      </c>
      <c r="C19" s="32" t="n">
        <v>129723</v>
      </c>
      <c r="D19" s="32" t="n">
        <v>81498</v>
      </c>
      <c r="E19" s="33">
        <f>SUM(B19:D19)</f>
        <v>705756</v>
      </c>
    </row>
    <row r="20">
      <c r="A20" s="31" t="n">
        <v>2021</v>
      </c>
      <c r="B20" s="32" t="n">
        <v>488185</v>
      </c>
      <c r="C20" s="32" t="n">
        <v>130516</v>
      </c>
      <c r="D20" s="32" t="n">
        <v>84657</v>
      </c>
      <c r="E20" s="33">
        <f>SUM(B20:D20)</f>
        <v>703358</v>
      </c>
    </row>
    <row r="21">
      <c r="A21" s="31" t="n">
        <v>2022</v>
      </c>
      <c r="B21" s="32" t="n">
        <v>479276</v>
      </c>
      <c r="C21" s="32" t="n">
        <v>131679</v>
      </c>
      <c r="D21" s="32" t="n">
        <v>87283</v>
      </c>
      <c r="E21" s="33">
        <f>SUM(B21:D21)</f>
        <v>698238</v>
      </c>
    </row>
    <row r="22">
      <c r="A22" s="31" t="n">
        <v>2023</v>
      </c>
      <c r="B22" s="32" t="n">
        <v>474455</v>
      </c>
      <c r="C22" s="32" t="n">
        <v>133517</v>
      </c>
      <c r="D22" s="32" t="n">
        <v>90193</v>
      </c>
      <c r="E22" s="33">
        <f>SUM(B22:D22)</f>
        <v>698165</v>
      </c>
    </row>
    <row r="23">
      <c r="A23" s="31" t="n">
        <v>2024</v>
      </c>
      <c r="B23" s="32" t="n">
        <v>467885</v>
      </c>
      <c r="C23" s="32" t="n">
        <v>135345</v>
      </c>
      <c r="D23" s="32" t="n">
        <v>92924</v>
      </c>
      <c r="E23" s="33">
        <f>SUM(B23:D23)</f>
        <v>696154</v>
      </c>
    </row>
    <row r="24">
      <c r="A24" s="31" t="n">
        <v>2025</v>
      </c>
      <c r="B24" s="32" t="n">
        <v>459957</v>
      </c>
      <c r="C24" s="32" t="n">
        <v>136136</v>
      </c>
      <c r="D24" s="32" t="n">
        <v>94377</v>
      </c>
      <c r="E24" s="33">
        <f>SUM(B24:D24)</f>
        <v>690470</v>
      </c>
    </row>
    <row r="25"/>
    <row r="26">
      <c r="A26" s="34" t="inlineStr">
        <is>
          <t>Government: highest</t>
        </is>
      </c>
      <c r="B26" s="33">
        <f>MAX(B5:B24)</f>
        <v>495738</v>
      </c>
    </row>
    <row r="27">
      <c r="A27" s="34" t="inlineStr">
        <is>
          <t>Year of that high</t>
        </is>
      </c>
      <c r="B27" s="40">
        <f>INDEX($A$5:$A$24,MATCH(B26,B5:B24,0))</f>
        <v>2019</v>
      </c>
    </row>
  </sheetData>
  <mergeCells count="2">
    <mergeCell ref="G5:G6"/>
    <mergeCell ref="G9:G10"/>
  </mergeCells>
  <hyperlinks>
    <hyperlink xmlns:r="http://schemas.openxmlformats.org/officeDocument/2006/relationships" ref="A2" r:id="rId1"/>
    <hyperlink xmlns:r="http://schemas.openxmlformats.org/officeDocument/2006/relationships" ref="G13" r:id="rId2"/>
  </hyperlinks>
  <printOptions gridLines="0"/>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P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3" customWidth="1" min="3" max="3"/>
    <col width="12"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3" customWidth="1" min="15" max="15"/>
    <col width="95" customWidth="1" min="16" max="16"/>
  </cols>
  <sheetData>
    <row r="1">
      <c r="A1" s="7" t="inlineStr">
        <is>
          <t>Kindergarten at every school in the six councils, 2016 to 2025</t>
        </is>
      </c>
    </row>
    <row r="2">
      <c r="A2" s="25" t="inlineStr">
        <is>
          <t>ACARA 'One year before Year 1' headcount, August census, at each school located in Lane Cove, Willoughby, Hunters Hill, North Sydney, Mosman and Ryde council areas; special schools left out. The council and sector totals below the list are our sums, by formula.</t>
        </is>
      </c>
    </row>
    <row r="3"/>
    <row r="4" ht="30" customHeight="1">
      <c r="A4" s="26" t="inlineStr">
        <is>
          <t>School</t>
        </is>
      </c>
      <c r="B4" s="26" t="inlineStr">
        <is>
          <t>ACARA school ID</t>
        </is>
      </c>
      <c r="C4" s="26" t="inlineStr">
        <is>
          <t>Council area</t>
        </is>
      </c>
      <c r="D4" s="26" t="inlineStr">
        <is>
          <t>Sector</t>
        </is>
      </c>
      <c r="E4" s="48" t="n">
        <v>2016</v>
      </c>
      <c r="F4" s="48" t="n">
        <v>2017</v>
      </c>
      <c r="G4" s="48" t="n">
        <v>2018</v>
      </c>
      <c r="H4" s="48" t="n">
        <v>2019</v>
      </c>
      <c r="I4" s="48" t="n">
        <v>2020</v>
      </c>
      <c r="J4" s="48" t="n">
        <v>2021</v>
      </c>
      <c r="K4" s="48" t="n">
        <v>2022</v>
      </c>
      <c r="L4" s="48" t="n">
        <v>2023</v>
      </c>
      <c r="M4" s="48" t="n">
        <v>2024</v>
      </c>
      <c r="N4" s="48" t="n">
        <v>2025</v>
      </c>
    </row>
    <row r="5">
      <c r="A5" s="34" t="inlineStr">
        <is>
          <t>Greenwich Public School</t>
        </is>
      </c>
      <c r="B5" s="50" t="n">
        <v>41216</v>
      </c>
      <c r="C5" s="43" t="inlineStr">
        <is>
          <t>Lane Cove</t>
        </is>
      </c>
      <c r="D5" s="43" t="inlineStr">
        <is>
          <t>Government</t>
        </is>
      </c>
      <c r="E5" s="32" t="n">
        <v>70</v>
      </c>
      <c r="F5" s="32" t="n">
        <v>82</v>
      </c>
      <c r="G5" s="32" t="n">
        <v>92</v>
      </c>
      <c r="H5" s="32" t="n">
        <v>85</v>
      </c>
      <c r="I5" s="32" t="n">
        <v>71</v>
      </c>
      <c r="J5" s="32" t="n">
        <v>77</v>
      </c>
      <c r="K5" s="32" t="n">
        <v>64</v>
      </c>
      <c r="L5" s="32" t="n">
        <v>55</v>
      </c>
      <c r="M5" s="32" t="n">
        <v>57</v>
      </c>
      <c r="N5" s="32" t="n">
        <v>41</v>
      </c>
      <c r="P5" s="27" t="inlineStr">
        <is>
          <t>How the figures are worked out</t>
        </is>
      </c>
    </row>
    <row r="6">
      <c r="A6" s="34" t="inlineStr">
        <is>
          <t>Lane Cove Public School</t>
        </is>
      </c>
      <c r="B6" s="50" t="n">
        <v>41221</v>
      </c>
      <c r="C6" s="43" t="inlineStr">
        <is>
          <t>Lane Cove</t>
        </is>
      </c>
      <c r="D6" s="43" t="inlineStr">
        <is>
          <t>Government</t>
        </is>
      </c>
      <c r="E6" s="32" t="n">
        <v>134</v>
      </c>
      <c r="F6" s="32" t="n">
        <v>129</v>
      </c>
      <c r="G6" s="32" t="n">
        <v>146</v>
      </c>
      <c r="H6" s="32" t="n">
        <v>132</v>
      </c>
      <c r="I6" s="32" t="n">
        <v>106</v>
      </c>
      <c r="J6" s="32" t="n">
        <v>127</v>
      </c>
      <c r="K6" s="32" t="n">
        <v>110</v>
      </c>
      <c r="L6" s="32" t="n">
        <v>107</v>
      </c>
      <c r="M6" s="32" t="n">
        <v>117</v>
      </c>
      <c r="N6" s="32" t="n">
        <v>94</v>
      </c>
      <c r="P6" s="4" t="inlineStr">
        <is>
          <t>Every mainstream school that ACARA locates in the six council areas and that had kindergarten in at least one year from 2016 to 2025, plus St Mary's North Sydney (see below): 61 schools. Schools with no kindergarten in those years are not listed. Special schools are left out.</t>
        </is>
      </c>
    </row>
    <row r="7">
      <c r="A7" s="34" t="inlineStr">
        <is>
          <t>Lane Cove West Public School</t>
        </is>
      </c>
      <c r="B7" s="50" t="n">
        <v>41260</v>
      </c>
      <c r="C7" s="43" t="inlineStr">
        <is>
          <t>Lane Cove</t>
        </is>
      </c>
      <c r="D7" s="43" t="inlineStr">
        <is>
          <t>Government</t>
        </is>
      </c>
      <c r="E7" s="32" t="n">
        <v>74</v>
      </c>
      <c r="F7" s="32" t="n">
        <v>95</v>
      </c>
      <c r="G7" s="32" t="n">
        <v>86</v>
      </c>
      <c r="H7" s="32" t="n">
        <v>106</v>
      </c>
      <c r="I7" s="32" t="n">
        <v>95</v>
      </c>
      <c r="J7" s="32" t="n">
        <v>95</v>
      </c>
      <c r="K7" s="32" t="n">
        <v>78</v>
      </c>
      <c r="L7" s="32" t="n">
        <v>69</v>
      </c>
      <c r="M7" s="32" t="n">
        <v>60</v>
      </c>
      <c r="N7" s="32" t="n">
        <v>73</v>
      </c>
    </row>
    <row r="8" ht="28.5" customHeight="1">
      <c r="A8" s="34" t="inlineStr">
        <is>
          <t>St Michael's Catholic Primary School, Lane Cove</t>
        </is>
      </c>
      <c r="B8" s="50" t="n">
        <v>43419</v>
      </c>
      <c r="C8" s="43" t="inlineStr">
        <is>
          <t>Lane Cove</t>
        </is>
      </c>
      <c r="D8" s="43" t="inlineStr">
        <is>
          <t>Catholic</t>
        </is>
      </c>
      <c r="E8" s="32" t="n">
        <v>82</v>
      </c>
      <c r="F8" s="32" t="n">
        <v>94</v>
      </c>
      <c r="G8" s="32" t="n">
        <v>76</v>
      </c>
      <c r="H8" s="32" t="n">
        <v>72</v>
      </c>
      <c r="I8" s="32" t="n">
        <v>88</v>
      </c>
      <c r="J8" s="32" t="n">
        <v>100</v>
      </c>
      <c r="K8" s="32" t="n">
        <v>77</v>
      </c>
      <c r="L8" s="32" t="n">
        <v>77</v>
      </c>
      <c r="M8" s="32" t="n">
        <v>73</v>
      </c>
      <c r="N8" s="32" t="n">
        <v>78</v>
      </c>
    </row>
    <row r="9">
      <c r="A9" s="34" t="inlineStr">
        <is>
          <t>Currambena Primary School</t>
        </is>
      </c>
      <c r="B9" s="50" t="n">
        <v>43734</v>
      </c>
      <c r="C9" s="43" t="inlineStr">
        <is>
          <t>Lane Cove</t>
        </is>
      </c>
      <c r="D9" s="43" t="inlineStr">
        <is>
          <t>Independent</t>
        </is>
      </c>
      <c r="E9" s="32" t="n">
        <v>17</v>
      </c>
      <c r="F9" s="32" t="n">
        <v>17</v>
      </c>
      <c r="G9" s="32" t="n">
        <v>13</v>
      </c>
      <c r="H9" s="32" t="n">
        <v>16</v>
      </c>
      <c r="I9" s="32" t="n">
        <v>11</v>
      </c>
      <c r="J9" s="32" t="n">
        <v>15</v>
      </c>
      <c r="K9" s="32" t="n">
        <v>20</v>
      </c>
      <c r="L9" s="32" t="n">
        <v>15</v>
      </c>
      <c r="M9" s="32" t="n">
        <v>12</v>
      </c>
      <c r="N9" s="32" t="n">
        <v>14</v>
      </c>
    </row>
    <row r="10">
      <c r="A10" s="34" t="inlineStr">
        <is>
          <t>Artarmon Public School</t>
        </is>
      </c>
      <c r="B10" s="50" t="n">
        <v>41195</v>
      </c>
      <c r="C10" s="43" t="inlineStr">
        <is>
          <t>Willoughby</t>
        </is>
      </c>
      <c r="D10" s="43" t="inlineStr">
        <is>
          <t>Government</t>
        </is>
      </c>
      <c r="E10" s="32" t="n">
        <v>157</v>
      </c>
      <c r="F10" s="32" t="n">
        <v>159</v>
      </c>
      <c r="G10" s="32" t="n">
        <v>158</v>
      </c>
      <c r="H10" s="32" t="n">
        <v>178</v>
      </c>
      <c r="I10" s="32" t="n">
        <v>164</v>
      </c>
      <c r="J10" s="32" t="n">
        <v>145</v>
      </c>
      <c r="K10" s="32" t="n">
        <v>142</v>
      </c>
      <c r="L10" s="32" t="n">
        <v>135</v>
      </c>
      <c r="M10" s="32" t="n">
        <v>113</v>
      </c>
      <c r="N10" s="32" t="n">
        <v>123</v>
      </c>
      <c r="P10" s="4" t="inlineStr">
        <is>
          <t>Blank: ACARA reports no kindergarten at the school that year.</t>
        </is>
      </c>
    </row>
    <row r="11">
      <c r="A11" s="34" t="inlineStr">
        <is>
          <t>Castle Cove Public School</t>
        </is>
      </c>
      <c r="B11" s="50" t="n">
        <v>41262</v>
      </c>
      <c r="C11" s="43" t="inlineStr">
        <is>
          <t>Willoughby</t>
        </is>
      </c>
      <c r="D11" s="43" t="inlineStr">
        <is>
          <t>Government</t>
        </is>
      </c>
      <c r="E11" s="32" t="n">
        <v>69</v>
      </c>
      <c r="F11" s="32" t="n">
        <v>71</v>
      </c>
      <c r="G11" s="32" t="n">
        <v>66</v>
      </c>
      <c r="H11" s="32" t="n">
        <v>77</v>
      </c>
      <c r="I11" s="32" t="n">
        <v>79</v>
      </c>
      <c r="J11" s="32" t="n">
        <v>56</v>
      </c>
      <c r="K11" s="32" t="n">
        <v>42</v>
      </c>
      <c r="L11" s="32" t="n">
        <v>35</v>
      </c>
      <c r="M11" s="32" t="n">
        <v>47</v>
      </c>
      <c r="N11" s="32" t="n">
        <v>32</v>
      </c>
    </row>
    <row r="12">
      <c r="A12" s="34" t="inlineStr">
        <is>
          <t>Chatswood Public School</t>
        </is>
      </c>
      <c r="B12" s="50" t="n">
        <v>41316</v>
      </c>
      <c r="C12" s="43" t="inlineStr">
        <is>
          <t>Willoughby</t>
        </is>
      </c>
      <c r="D12" s="43" t="inlineStr">
        <is>
          <t>Government</t>
        </is>
      </c>
      <c r="E12" s="32" t="n">
        <v>198</v>
      </c>
      <c r="F12" s="32" t="n">
        <v>199</v>
      </c>
      <c r="G12" s="32" t="n">
        <v>205</v>
      </c>
      <c r="H12" s="32" t="n">
        <v>166</v>
      </c>
      <c r="I12" s="32" t="n">
        <v>221</v>
      </c>
      <c r="J12" s="32" t="n">
        <v>121</v>
      </c>
      <c r="K12" s="32" t="n">
        <v>128</v>
      </c>
      <c r="L12" s="32" t="n">
        <v>116</v>
      </c>
      <c r="M12" s="32" t="n">
        <v>107</v>
      </c>
      <c r="N12" s="32" t="n">
        <v>124</v>
      </c>
      <c r="P12" s="4" t="inlineStr">
        <is>
          <t>St Mary's Catholic Primary School, North Sydney (ACARA 43440) merged into Marist Catholic College North Shore from 2021, so it is not in ACARA's 2025 school location list. Its figures are from ACARA's enrolment file, and it is counted in North Sydney.</t>
        </is>
      </c>
    </row>
    <row r="13">
      <c r="A13" s="34" t="inlineStr">
        <is>
          <t>Mowbray Public School</t>
        </is>
      </c>
      <c r="B13" s="50" t="n">
        <v>41271</v>
      </c>
      <c r="C13" s="43" t="inlineStr">
        <is>
          <t>Willoughby</t>
        </is>
      </c>
      <c r="D13" s="43" t="inlineStr">
        <is>
          <t>Government</t>
        </is>
      </c>
      <c r="E13" s="32" t="n">
        <v>83</v>
      </c>
      <c r="F13" s="32" t="n">
        <v>102</v>
      </c>
      <c r="G13" s="32" t="n">
        <v>118</v>
      </c>
      <c r="H13" s="32" t="n">
        <v>117</v>
      </c>
      <c r="I13" s="32" t="n">
        <v>106</v>
      </c>
      <c r="J13" s="32" t="n">
        <v>115</v>
      </c>
      <c r="K13" s="32" t="n">
        <v>115</v>
      </c>
      <c r="L13" s="32" t="n">
        <v>118</v>
      </c>
      <c r="M13" s="32" t="n">
        <v>110</v>
      </c>
      <c r="N13" s="32" t="n">
        <v>109</v>
      </c>
    </row>
    <row r="14">
      <c r="A14" s="34" t="inlineStr">
        <is>
          <t>Northbridge Public School</t>
        </is>
      </c>
      <c r="B14" s="50" t="n">
        <v>41232</v>
      </c>
      <c r="C14" s="43" t="inlineStr">
        <is>
          <t>Willoughby</t>
        </is>
      </c>
      <c r="D14" s="43" t="inlineStr">
        <is>
          <t>Government</t>
        </is>
      </c>
      <c r="E14" s="32" t="n">
        <v>82</v>
      </c>
      <c r="F14" s="32" t="n">
        <v>72</v>
      </c>
      <c r="G14" s="32" t="n">
        <v>95</v>
      </c>
      <c r="H14" s="32" t="n">
        <v>75</v>
      </c>
      <c r="I14" s="32" t="n">
        <v>72</v>
      </c>
      <c r="J14" s="32" t="n">
        <v>74</v>
      </c>
      <c r="K14" s="32" t="n">
        <v>76</v>
      </c>
      <c r="L14" s="32" t="n">
        <v>45</v>
      </c>
      <c r="M14" s="32" t="n">
        <v>36</v>
      </c>
      <c r="N14" s="32" t="n">
        <v>45</v>
      </c>
    </row>
    <row r="15">
      <c r="A15" s="34" t="inlineStr">
        <is>
          <t>Willoughby Public School</t>
        </is>
      </c>
      <c r="B15" s="50" t="n">
        <v>41246</v>
      </c>
      <c r="C15" s="43" t="inlineStr">
        <is>
          <t>Willoughby</t>
        </is>
      </c>
      <c r="D15" s="43" t="inlineStr">
        <is>
          <t>Government</t>
        </is>
      </c>
      <c r="E15" s="32" t="n">
        <v>172</v>
      </c>
      <c r="F15" s="32" t="n">
        <v>167</v>
      </c>
      <c r="G15" s="32" t="n">
        <v>151</v>
      </c>
      <c r="H15" s="32" t="n">
        <v>151</v>
      </c>
      <c r="I15" s="32" t="n">
        <v>129</v>
      </c>
      <c r="J15" s="32" t="n">
        <v>133</v>
      </c>
      <c r="K15" s="32" t="n">
        <v>139</v>
      </c>
      <c r="L15" s="32" t="n">
        <v>118</v>
      </c>
      <c r="M15" s="32" t="n">
        <v>122</v>
      </c>
      <c r="N15" s="32" t="n">
        <v>127</v>
      </c>
    </row>
    <row r="16" ht="28.5" customHeight="1">
      <c r="A16" s="34" t="inlineStr">
        <is>
          <t>Our Lady of Dolours Catholic Primary School</t>
        </is>
      </c>
      <c r="B16" s="50" t="n">
        <v>43235</v>
      </c>
      <c r="C16" s="43" t="inlineStr">
        <is>
          <t>Willoughby</t>
        </is>
      </c>
      <c r="D16" s="43" t="inlineStr">
        <is>
          <t>Catholic</t>
        </is>
      </c>
      <c r="E16" s="32" t="n">
        <v>57</v>
      </c>
      <c r="F16" s="32" t="n">
        <v>46</v>
      </c>
      <c r="G16" s="32" t="n">
        <v>56</v>
      </c>
      <c r="H16" s="32" t="n">
        <v>54</v>
      </c>
      <c r="I16" s="32" t="n">
        <v>53</v>
      </c>
      <c r="J16" s="32" t="n">
        <v>51</v>
      </c>
      <c r="K16" s="32" t="n">
        <v>63</v>
      </c>
      <c r="L16" s="32" t="n">
        <v>60</v>
      </c>
      <c r="M16" s="32" t="n">
        <v>66</v>
      </c>
      <c r="N16" s="32" t="n">
        <v>49</v>
      </c>
      <c r="P16" s="4" t="inlineStr">
        <is>
          <t>Shore's kindergarten is at its Northbridge preparatory campus in Willoughby council area, but ACARA reports it under the head campus in North Sydney, so it is counted in North Sydney. See the coverage notes on the About sheet.</t>
        </is>
      </c>
    </row>
    <row r="17" ht="28.5" customHeight="1">
      <c r="A17" s="34" t="inlineStr">
        <is>
          <t>St Philip Neri Catholic Primary School</t>
        </is>
      </c>
      <c r="B17" s="50" t="n">
        <v>43251</v>
      </c>
      <c r="C17" s="43" t="inlineStr">
        <is>
          <t>Willoughby</t>
        </is>
      </c>
      <c r="D17" s="43" t="inlineStr">
        <is>
          <t>Catholic</t>
        </is>
      </c>
      <c r="E17" s="32" t="n">
        <v>31</v>
      </c>
      <c r="F17" s="32" t="n">
        <v>24</v>
      </c>
      <c r="G17" s="32" t="n">
        <v>29</v>
      </c>
      <c r="H17" s="32" t="n">
        <v>26</v>
      </c>
      <c r="I17" s="32" t="n">
        <v>22</v>
      </c>
      <c r="J17" s="32" t="n">
        <v>26</v>
      </c>
      <c r="K17" s="32" t="n">
        <v>23</v>
      </c>
      <c r="L17" s="32" t="n">
        <v>21</v>
      </c>
      <c r="M17" s="32" t="n">
        <v>16</v>
      </c>
      <c r="N17" s="32" t="n">
        <v>16</v>
      </c>
    </row>
    <row r="18" ht="28.5" customHeight="1">
      <c r="A18" s="34" t="inlineStr">
        <is>
          <t>St Thomas' Catholic Primary School</t>
        </is>
      </c>
      <c r="B18" s="50" t="n">
        <v>43262</v>
      </c>
      <c r="C18" s="43" t="inlineStr">
        <is>
          <t>Willoughby</t>
        </is>
      </c>
      <c r="D18" s="43" t="inlineStr">
        <is>
          <t>Catholic</t>
        </is>
      </c>
      <c r="E18" s="32" t="n">
        <v>61</v>
      </c>
      <c r="F18" s="32" t="n">
        <v>56</v>
      </c>
      <c r="G18" s="32" t="n">
        <v>57</v>
      </c>
      <c r="H18" s="32" t="n">
        <v>60</v>
      </c>
      <c r="I18" s="32" t="n">
        <v>72</v>
      </c>
      <c r="J18" s="32" t="n">
        <v>76</v>
      </c>
      <c r="K18" s="32" t="n">
        <v>69</v>
      </c>
      <c r="L18" s="32" t="n">
        <v>56</v>
      </c>
      <c r="M18" s="32" t="n">
        <v>50</v>
      </c>
      <c r="N18" s="32" t="n">
        <v>38</v>
      </c>
    </row>
    <row r="19" ht="28.5" customHeight="1">
      <c r="A19" s="34" t="inlineStr">
        <is>
          <t>Glenaeon Rudolf Steiner School</t>
        </is>
      </c>
      <c r="B19" s="50" t="n">
        <v>43812</v>
      </c>
      <c r="C19" s="43" t="inlineStr">
        <is>
          <t>Willoughby</t>
        </is>
      </c>
      <c r="D19" s="43" t="inlineStr">
        <is>
          <t>Independent</t>
        </is>
      </c>
      <c r="E19" s="32" t="n">
        <v>33</v>
      </c>
      <c r="F19" s="32" t="n">
        <v>29</v>
      </c>
      <c r="G19" s="32" t="n">
        <v>29</v>
      </c>
      <c r="H19" s="32" t="n">
        <v>30</v>
      </c>
      <c r="I19" s="32" t="n">
        <v>23</v>
      </c>
      <c r="J19" s="32" t="n">
        <v>19</v>
      </c>
      <c r="K19" s="32" t="n">
        <v>31</v>
      </c>
      <c r="L19" s="32" t="n">
        <v>20</v>
      </c>
      <c r="M19" s="32" t="n">
        <v>18</v>
      </c>
      <c r="N19" s="32" t="n">
        <v>14</v>
      </c>
    </row>
    <row r="20">
      <c r="A20" s="34" t="inlineStr">
        <is>
          <t>International Chinese School</t>
        </is>
      </c>
      <c r="B20" s="50" t="n">
        <v>53005</v>
      </c>
      <c r="C20" s="43" t="inlineStr">
        <is>
          <t>Willoughby</t>
        </is>
      </c>
      <c r="D20" s="43" t="inlineStr">
        <is>
          <t>Independent</t>
        </is>
      </c>
      <c r="E20" s="32" t="n">
        <v>13</v>
      </c>
      <c r="F20" s="32" t="n">
        <v>11</v>
      </c>
      <c r="G20" s="32" t="n">
        <v>12</v>
      </c>
      <c r="H20" s="32" t="n">
        <v>12</v>
      </c>
      <c r="I20" s="32" t="n">
        <v>26</v>
      </c>
      <c r="J20" s="32" t="n">
        <v>17</v>
      </c>
      <c r="K20" s="32" t="n">
        <v>24</v>
      </c>
      <c r="L20" s="32" t="n">
        <v>20</v>
      </c>
      <c r="M20" s="32" t="n">
        <v>29</v>
      </c>
      <c r="N20" s="32" t="n">
        <v>42</v>
      </c>
      <c r="P20" s="4" t="inlineStr">
        <is>
          <t>Reddam House North Shore, an independent school in North Sydney, is not in this list or its totals in any year. ACARA lists it as a sub-campus of Reddam House, whose head campus is in Woollahra, and reports it under the head campus's school ID. From 2016 to 2019, ACARA's only Reddam House enrolment figures are the head campus's, located in Woollahra and so outside the six councils; after 2019 ACARA has no Reddam House enrolment figures at all. Any kindergarten at the North Shore campus therefore cannot be seen in these figures.</t>
        </is>
      </c>
    </row>
    <row r="21">
      <c r="A21" s="34" t="inlineStr">
        <is>
          <t>Boronia Park Public School</t>
        </is>
      </c>
      <c r="B21" s="50" t="n">
        <v>41200</v>
      </c>
      <c r="C21" s="43" t="inlineStr">
        <is>
          <t>Hunters Hill</t>
        </is>
      </c>
      <c r="D21" s="43" t="inlineStr">
        <is>
          <t>Government</t>
        </is>
      </c>
      <c r="E21" s="32" t="n">
        <v>104</v>
      </c>
      <c r="F21" s="32" t="n">
        <v>85</v>
      </c>
      <c r="G21" s="32" t="n">
        <v>77</v>
      </c>
      <c r="H21" s="32" t="n">
        <v>83</v>
      </c>
      <c r="I21" s="32" t="n">
        <v>67</v>
      </c>
      <c r="J21" s="32" t="n">
        <v>68</v>
      </c>
      <c r="K21" s="32" t="n">
        <v>63</v>
      </c>
      <c r="L21" s="32" t="n">
        <v>67</v>
      </c>
      <c r="M21" s="32" t="n">
        <v>73</v>
      </c>
      <c r="N21" s="32" t="n">
        <v>36</v>
      </c>
    </row>
    <row r="22">
      <c r="A22" s="34" t="inlineStr">
        <is>
          <t>Hunters Hill Public School</t>
        </is>
      </c>
      <c r="B22" s="50" t="n">
        <v>41219</v>
      </c>
      <c r="C22" s="43" t="inlineStr">
        <is>
          <t>Hunters Hill</t>
        </is>
      </c>
      <c r="D22" s="43" t="inlineStr">
        <is>
          <t>Government</t>
        </is>
      </c>
      <c r="E22" s="32" t="n">
        <v>50</v>
      </c>
      <c r="F22" s="32" t="n">
        <v>55</v>
      </c>
      <c r="G22" s="32" t="n">
        <v>64</v>
      </c>
      <c r="H22" s="32" t="n">
        <v>59</v>
      </c>
      <c r="I22" s="32" t="n">
        <v>50</v>
      </c>
      <c r="J22" s="32" t="n">
        <v>50</v>
      </c>
      <c r="K22" s="32" t="n">
        <v>39</v>
      </c>
      <c r="L22" s="32" t="n">
        <v>41</v>
      </c>
      <c r="M22" s="32" t="n">
        <v>43</v>
      </c>
      <c r="N22" s="32" t="n">
        <v>30</v>
      </c>
    </row>
    <row r="23" ht="28.5" customHeight="1">
      <c r="A23" s="34" t="inlineStr">
        <is>
          <t>Villa Maria Catholic Primary School</t>
        </is>
      </c>
      <c r="B23" s="50" t="n">
        <v>43413</v>
      </c>
      <c r="C23" s="43" t="inlineStr">
        <is>
          <t>Hunters Hill</t>
        </is>
      </c>
      <c r="D23" s="43" t="inlineStr">
        <is>
          <t>Catholic</t>
        </is>
      </c>
      <c r="E23" s="32" t="n">
        <v>56</v>
      </c>
      <c r="F23" s="32" t="n">
        <v>63</v>
      </c>
      <c r="G23" s="32" t="n">
        <v>65</v>
      </c>
      <c r="H23" s="32" t="n">
        <v>53</v>
      </c>
      <c r="I23" s="32" t="n">
        <v>59</v>
      </c>
      <c r="J23" s="32" t="n">
        <v>45</v>
      </c>
      <c r="K23" s="32" t="n">
        <v>63</v>
      </c>
      <c r="L23" s="32" t="n">
        <v>52</v>
      </c>
      <c r="M23" s="32" t="n">
        <v>60</v>
      </c>
      <c r="N23" s="32" t="n">
        <v>60</v>
      </c>
    </row>
    <row r="24">
      <c r="A24" s="34" t="inlineStr">
        <is>
          <t>Anzac Park Public School</t>
        </is>
      </c>
      <c r="B24" s="50" t="n">
        <v>52051</v>
      </c>
      <c r="C24" s="43" t="inlineStr">
        <is>
          <t>North Sydney</t>
        </is>
      </c>
      <c r="D24" s="43" t="inlineStr">
        <is>
          <t>Government</t>
        </is>
      </c>
      <c r="E24" s="32" t="n">
        <v>77</v>
      </c>
      <c r="F24" s="32" t="n">
        <v>145</v>
      </c>
      <c r="G24" s="32" t="n">
        <v>172</v>
      </c>
      <c r="H24" s="32" t="n">
        <v>123</v>
      </c>
      <c r="I24" s="32" t="n">
        <v>154</v>
      </c>
      <c r="J24" s="32" t="n">
        <v>144</v>
      </c>
      <c r="K24" s="32" t="n">
        <v>116</v>
      </c>
      <c r="L24" s="32" t="n">
        <v>114</v>
      </c>
      <c r="M24" s="32" t="n">
        <v>114</v>
      </c>
      <c r="N24" s="32" t="n">
        <v>98</v>
      </c>
    </row>
    <row r="25">
      <c r="A25" s="34" t="inlineStr">
        <is>
          <t>Cammeray Public School</t>
        </is>
      </c>
      <c r="B25" s="50" t="n">
        <v>41203</v>
      </c>
      <c r="C25" s="43" t="inlineStr">
        <is>
          <t>North Sydney</t>
        </is>
      </c>
      <c r="D25" s="43" t="inlineStr">
        <is>
          <t>Government</t>
        </is>
      </c>
      <c r="E25" s="32" t="n">
        <v>138</v>
      </c>
      <c r="F25" s="32" t="n">
        <v>121</v>
      </c>
      <c r="G25" s="32" t="n">
        <v>143</v>
      </c>
      <c r="H25" s="32" t="n">
        <v>118</v>
      </c>
      <c r="I25" s="32" t="n">
        <v>110</v>
      </c>
      <c r="J25" s="32" t="n">
        <v>111</v>
      </c>
      <c r="K25" s="32" t="n">
        <v>111</v>
      </c>
      <c r="L25" s="32" t="n">
        <v>100</v>
      </c>
      <c r="M25" s="32" t="n">
        <v>86</v>
      </c>
      <c r="N25" s="32" t="n">
        <v>91</v>
      </c>
    </row>
    <row r="26">
      <c r="A26" s="34" t="inlineStr">
        <is>
          <t>Neutral Bay Public School</t>
        </is>
      </c>
      <c r="B26" s="50" t="n">
        <v>41229</v>
      </c>
      <c r="C26" s="43" t="inlineStr">
        <is>
          <t>North Sydney</t>
        </is>
      </c>
      <c r="D26" s="43" t="inlineStr">
        <is>
          <t>Government</t>
        </is>
      </c>
      <c r="E26" s="32" t="n">
        <v>140</v>
      </c>
      <c r="F26" s="32" t="n">
        <v>138</v>
      </c>
      <c r="G26" s="32" t="n">
        <v>125</v>
      </c>
      <c r="H26" s="32" t="n">
        <v>127</v>
      </c>
      <c r="I26" s="32" t="n">
        <v>123</v>
      </c>
      <c r="J26" s="32" t="n">
        <v>113</v>
      </c>
      <c r="K26" s="32" t="n">
        <v>88</v>
      </c>
      <c r="L26" s="32" t="n">
        <v>90</v>
      </c>
      <c r="M26" s="32" t="n">
        <v>78</v>
      </c>
      <c r="N26" s="32" t="n">
        <v>67</v>
      </c>
    </row>
    <row r="27">
      <c r="A27" s="34" t="inlineStr">
        <is>
          <t>North Sydney Public School</t>
        </is>
      </c>
      <c r="B27" s="50" t="n">
        <v>41234</v>
      </c>
      <c r="C27" s="43" t="inlineStr">
        <is>
          <t>North Sydney</t>
        </is>
      </c>
      <c r="D27" s="43" t="inlineStr">
        <is>
          <t>Government</t>
        </is>
      </c>
      <c r="E27" s="32" t="n">
        <v>142</v>
      </c>
      <c r="F27" s="32" t="n">
        <v>153</v>
      </c>
      <c r="G27" s="32" t="n">
        <v>120</v>
      </c>
      <c r="H27" s="32" t="n">
        <v>152</v>
      </c>
      <c r="I27" s="32" t="n">
        <v>109</v>
      </c>
      <c r="J27" s="32" t="n">
        <v>123</v>
      </c>
      <c r="K27" s="32" t="n">
        <v>110</v>
      </c>
      <c r="L27" s="32" t="n">
        <v>105</v>
      </c>
      <c r="M27" s="32" t="n">
        <v>103</v>
      </c>
      <c r="N27" s="32" t="n">
        <v>123</v>
      </c>
      <c r="P27" s="3" t="inlineStr">
        <is>
          <t>The totals add up the school figures above with SUMIFS on the council and sector columns. The Six councils, Sector kindergarten, Resident children ratio and Private kindy and births sheets take their council and sector kindergarten from these totals.</t>
        </is>
      </c>
    </row>
    <row r="28" ht="28.5" customHeight="1">
      <c r="A28" s="34" t="inlineStr">
        <is>
          <t>Marist Catholic College North Shore</t>
        </is>
      </c>
      <c r="B28" s="50" t="n">
        <v>43478</v>
      </c>
      <c r="C28" s="43" t="inlineStr">
        <is>
          <t>North Sydney</t>
        </is>
      </c>
      <c r="D28" s="43" t="inlineStr">
        <is>
          <t>Catholic</t>
        </is>
      </c>
      <c r="E28" s="32" t="n"/>
      <c r="F28" s="32" t="n"/>
      <c r="G28" s="32" t="n"/>
      <c r="H28" s="32" t="n"/>
      <c r="I28" s="32" t="n"/>
      <c r="J28" s="32" t="n">
        <v>74</v>
      </c>
      <c r="K28" s="32" t="n">
        <v>76</v>
      </c>
      <c r="L28" s="32" t="n">
        <v>67</v>
      </c>
      <c r="M28" s="32" t="n">
        <v>68</v>
      </c>
      <c r="N28" s="32" t="n">
        <v>67</v>
      </c>
    </row>
    <row r="29" ht="28.5" customHeight="1">
      <c r="A29" s="34" t="inlineStr">
        <is>
          <t>St Mary's Catholic Primary School</t>
        </is>
      </c>
      <c r="B29" s="50" t="n">
        <v>43440</v>
      </c>
      <c r="C29" s="43" t="inlineStr">
        <is>
          <t>North Sydney</t>
        </is>
      </c>
      <c r="D29" s="43" t="inlineStr">
        <is>
          <t>Catholic</t>
        </is>
      </c>
      <c r="E29" s="32" t="n">
        <v>67</v>
      </c>
      <c r="F29" s="32" t="n">
        <v>68</v>
      </c>
      <c r="G29" s="32" t="n">
        <v>68</v>
      </c>
      <c r="H29" s="32" t="n">
        <v>64</v>
      </c>
      <c r="I29" s="32" t="n">
        <v>67</v>
      </c>
      <c r="J29" s="32" t="n"/>
      <c r="K29" s="32" t="n"/>
      <c r="L29" s="32" t="n"/>
      <c r="M29" s="32" t="n"/>
      <c r="N29" s="32" t="n"/>
    </row>
    <row r="30">
      <c r="A30" s="34" t="inlineStr">
        <is>
          <t>Cameragal Montessori School</t>
        </is>
      </c>
      <c r="B30" s="50" t="n">
        <v>40844</v>
      </c>
      <c r="C30" s="43" t="inlineStr">
        <is>
          <t>North Sydney</t>
        </is>
      </c>
      <c r="D30" s="43" t="inlineStr">
        <is>
          <t>Independent</t>
        </is>
      </c>
      <c r="E30" s="32" t="n">
        <v>11</v>
      </c>
      <c r="F30" s="32" t="n">
        <v>16</v>
      </c>
      <c r="G30" s="32" t="n">
        <v>18</v>
      </c>
      <c r="H30" s="32" t="n">
        <v>19</v>
      </c>
      <c r="I30" s="32" t="n">
        <v>18</v>
      </c>
      <c r="J30" s="32" t="n">
        <v>12</v>
      </c>
      <c r="K30" s="32" t="n">
        <v>16</v>
      </c>
      <c r="L30" s="32" t="n">
        <v>14</v>
      </c>
      <c r="M30" s="32" t="n">
        <v>19</v>
      </c>
      <c r="N30" s="32" t="n">
        <v>16</v>
      </c>
    </row>
    <row r="31">
      <c r="A31" s="34" t="inlineStr">
        <is>
          <t>Loreto Kirribilli</t>
        </is>
      </c>
      <c r="B31" s="50" t="n">
        <v>43657</v>
      </c>
      <c r="C31" s="43" t="inlineStr">
        <is>
          <t>North Sydney</t>
        </is>
      </c>
      <c r="D31" s="43" t="inlineStr">
        <is>
          <t>Independent</t>
        </is>
      </c>
      <c r="E31" s="32" t="n">
        <v>24</v>
      </c>
      <c r="F31" s="32" t="n">
        <v>26</v>
      </c>
      <c r="G31" s="32" t="n">
        <v>26</v>
      </c>
      <c r="H31" s="32" t="n">
        <v>29</v>
      </c>
      <c r="I31" s="32" t="n">
        <v>15</v>
      </c>
      <c r="J31" s="32" t="n">
        <v>17</v>
      </c>
      <c r="K31" s="32" t="n">
        <v>20</v>
      </c>
      <c r="L31" s="32" t="n">
        <v>22</v>
      </c>
      <c r="M31" s="32" t="n">
        <v>20</v>
      </c>
      <c r="N31" s="32" t="n">
        <v>19</v>
      </c>
      <c r="P31" s="27" t="inlineStr">
        <is>
          <t>Sources</t>
        </is>
      </c>
    </row>
    <row r="32">
      <c r="A32" s="34" t="inlineStr">
        <is>
          <t>SCECGS Redlands</t>
        </is>
      </c>
      <c r="B32" s="50" t="n">
        <v>43875</v>
      </c>
      <c r="C32" s="43" t="inlineStr">
        <is>
          <t>North Sydney</t>
        </is>
      </c>
      <c r="D32" s="43" t="inlineStr">
        <is>
          <t>Independent</t>
        </is>
      </c>
      <c r="E32" s="32" t="n">
        <v>77</v>
      </c>
      <c r="F32" s="32" t="n">
        <v>74</v>
      </c>
      <c r="G32" s="32" t="n">
        <v>72</v>
      </c>
      <c r="H32" s="32" t="n">
        <v>74</v>
      </c>
      <c r="I32" s="32" t="n">
        <v>78</v>
      </c>
      <c r="J32" s="32" t="n">
        <v>67</v>
      </c>
      <c r="K32" s="32" t="n">
        <v>72</v>
      </c>
      <c r="L32" s="32" t="n">
        <v>78</v>
      </c>
      <c r="M32" s="32" t="n">
        <v>69</v>
      </c>
      <c r="N32" s="32" t="n">
        <v>73</v>
      </c>
      <c r="P32" s="42" t="inlineStr">
        <is>
          <t>ACARA Data Access Program: Enrolments by Grade 2008-2025 and School Locations 2025</t>
        </is>
      </c>
    </row>
    <row r="33" ht="28.5" customHeight="1">
      <c r="A33" s="34" t="inlineStr">
        <is>
          <t>SHORE - Sydney Church of England Grammar School</t>
        </is>
      </c>
      <c r="B33" s="50" t="n">
        <v>43878</v>
      </c>
      <c r="C33" s="43" t="inlineStr">
        <is>
          <t>North Sydney</t>
        </is>
      </c>
      <c r="D33" s="43" t="inlineStr">
        <is>
          <t>Independent</t>
        </is>
      </c>
      <c r="E33" s="32" t="n">
        <v>47</v>
      </c>
      <c r="F33" s="32" t="n">
        <v>47</v>
      </c>
      <c r="G33" s="32" t="n">
        <v>48</v>
      </c>
      <c r="H33" s="32" t="n">
        <v>48</v>
      </c>
      <c r="I33" s="32" t="n">
        <v>48</v>
      </c>
      <c r="J33" s="32" t="n">
        <v>48</v>
      </c>
      <c r="K33" s="32" t="n">
        <v>48</v>
      </c>
      <c r="L33" s="32" t="n">
        <v>49</v>
      </c>
      <c r="M33" s="32" t="n">
        <v>48</v>
      </c>
      <c r="N33" s="32" t="n">
        <v>48</v>
      </c>
    </row>
    <row r="34">
      <c r="A34" s="34" t="inlineStr">
        <is>
          <t>Wenona School</t>
        </is>
      </c>
      <c r="B34" s="50" t="n">
        <v>43868</v>
      </c>
      <c r="C34" s="43" t="inlineStr">
        <is>
          <t>North Sydney</t>
        </is>
      </c>
      <c r="D34" s="43" t="inlineStr">
        <is>
          <t>Independent</t>
        </is>
      </c>
      <c r="E34" s="32" t="n">
        <v>19</v>
      </c>
      <c r="F34" s="32" t="n">
        <v>20</v>
      </c>
      <c r="G34" s="32" t="n">
        <v>20</v>
      </c>
      <c r="H34" s="32" t="n">
        <v>19</v>
      </c>
      <c r="I34" s="32" t="n">
        <v>19</v>
      </c>
      <c r="J34" s="32" t="n">
        <v>21</v>
      </c>
      <c r="K34" s="32" t="n">
        <v>20</v>
      </c>
      <c r="L34" s="32" t="n">
        <v>20</v>
      </c>
      <c r="M34" s="32" t="n">
        <v>20</v>
      </c>
      <c r="N34" s="32" t="n">
        <v>20</v>
      </c>
    </row>
    <row r="35">
      <c r="A35" s="34" t="inlineStr">
        <is>
          <t>Beauty Point Public School</t>
        </is>
      </c>
      <c r="B35" s="50" t="n">
        <v>41307</v>
      </c>
      <c r="C35" s="43" t="inlineStr">
        <is>
          <t>Mosman</t>
        </is>
      </c>
      <c r="D35" s="43" t="inlineStr">
        <is>
          <t>Government</t>
        </is>
      </c>
      <c r="E35" s="32" t="n">
        <v>53</v>
      </c>
      <c r="F35" s="32" t="n">
        <v>57</v>
      </c>
      <c r="G35" s="32" t="n">
        <v>57</v>
      </c>
      <c r="H35" s="32" t="n">
        <v>47</v>
      </c>
      <c r="I35" s="32" t="n">
        <v>46</v>
      </c>
      <c r="J35" s="32" t="n">
        <v>46</v>
      </c>
      <c r="K35" s="32" t="n">
        <v>41</v>
      </c>
      <c r="L35" s="32" t="n">
        <v>40</v>
      </c>
      <c r="M35" s="32" t="n">
        <v>21</v>
      </c>
      <c r="N35" s="32" t="n">
        <v>26</v>
      </c>
    </row>
    <row r="36">
      <c r="A36" s="34" t="inlineStr">
        <is>
          <t>Middle Harbour Public School</t>
        </is>
      </c>
      <c r="B36" s="50" t="n">
        <v>41226</v>
      </c>
      <c r="C36" s="43" t="inlineStr">
        <is>
          <t>Mosman</t>
        </is>
      </c>
      <c r="D36" s="43" t="inlineStr">
        <is>
          <t>Government</t>
        </is>
      </c>
      <c r="E36" s="32" t="n">
        <v>98</v>
      </c>
      <c r="F36" s="32" t="n">
        <v>102</v>
      </c>
      <c r="G36" s="32" t="n">
        <v>90</v>
      </c>
      <c r="H36" s="32" t="n">
        <v>88</v>
      </c>
      <c r="I36" s="32" t="n">
        <v>83</v>
      </c>
      <c r="J36" s="32" t="n">
        <v>83</v>
      </c>
      <c r="K36" s="32" t="n">
        <v>84</v>
      </c>
      <c r="L36" s="32" t="n">
        <v>68</v>
      </c>
      <c r="M36" s="32" t="n">
        <v>73</v>
      </c>
      <c r="N36" s="32" t="n">
        <v>60</v>
      </c>
    </row>
    <row r="37">
      <c r="A37" s="34" t="inlineStr">
        <is>
          <t>Mosman Public School</t>
        </is>
      </c>
      <c r="B37" s="50" t="n">
        <v>41318</v>
      </c>
      <c r="C37" s="43" t="inlineStr">
        <is>
          <t>Mosman</t>
        </is>
      </c>
      <c r="D37" s="43" t="inlineStr">
        <is>
          <t>Government</t>
        </is>
      </c>
      <c r="E37" s="32" t="n">
        <v>119</v>
      </c>
      <c r="F37" s="32" t="n">
        <v>111</v>
      </c>
      <c r="G37" s="32" t="n">
        <v>98</v>
      </c>
      <c r="H37" s="32" t="n">
        <v>105</v>
      </c>
      <c r="I37" s="32" t="n">
        <v>92</v>
      </c>
      <c r="J37" s="32" t="n">
        <v>103</v>
      </c>
      <c r="K37" s="32" t="n">
        <v>82</v>
      </c>
      <c r="L37" s="32" t="n">
        <v>77</v>
      </c>
      <c r="M37" s="32" t="n">
        <v>77</v>
      </c>
      <c r="N37" s="32" t="n">
        <v>58</v>
      </c>
    </row>
    <row r="38" ht="28.5" customHeight="1">
      <c r="A38" s="34" t="inlineStr">
        <is>
          <t>Blessed Sacrament Catholic Primary School</t>
        </is>
      </c>
      <c r="B38" s="50" t="n">
        <v>43384</v>
      </c>
      <c r="C38" s="43" t="inlineStr">
        <is>
          <t>Mosman</t>
        </is>
      </c>
      <c r="D38" s="43" t="inlineStr">
        <is>
          <t>Catholic</t>
        </is>
      </c>
      <c r="E38" s="32" t="n">
        <v>25</v>
      </c>
      <c r="F38" s="32" t="n">
        <v>18</v>
      </c>
      <c r="G38" s="32" t="n">
        <v>15</v>
      </c>
      <c r="H38" s="32" t="n">
        <v>26</v>
      </c>
      <c r="I38" s="32" t="n">
        <v>23</v>
      </c>
      <c r="J38" s="32" t="n">
        <v>16</v>
      </c>
      <c r="K38" s="32" t="n">
        <v>15</v>
      </c>
      <c r="L38" s="32" t="n">
        <v>17</v>
      </c>
      <c r="M38" s="32" t="n">
        <v>19</v>
      </c>
      <c r="N38" s="32" t="n">
        <v>16</v>
      </c>
    </row>
    <row r="39" ht="28.5" customHeight="1">
      <c r="A39" s="34" t="inlineStr">
        <is>
          <t>Sacred Heart Catholic Primary School</t>
        </is>
      </c>
      <c r="B39" s="50" t="n">
        <v>43437</v>
      </c>
      <c r="C39" s="43" t="inlineStr">
        <is>
          <t>Mosman</t>
        </is>
      </c>
      <c r="D39" s="43" t="inlineStr">
        <is>
          <t>Catholic</t>
        </is>
      </c>
      <c r="E39" s="32" t="n">
        <v>57</v>
      </c>
      <c r="F39" s="32" t="n">
        <v>51</v>
      </c>
      <c r="G39" s="32" t="n">
        <v>49</v>
      </c>
      <c r="H39" s="32" t="n">
        <v>61</v>
      </c>
      <c r="I39" s="32" t="n">
        <v>52</v>
      </c>
      <c r="J39" s="32" t="n">
        <v>55</v>
      </c>
      <c r="K39" s="32" t="n">
        <v>55</v>
      </c>
      <c r="L39" s="32" t="n">
        <v>48</v>
      </c>
      <c r="M39" s="32" t="n">
        <v>60</v>
      </c>
      <c r="N39" s="32" t="n">
        <v>61</v>
      </c>
    </row>
    <row r="40" ht="28.5" customHeight="1">
      <c r="A40" s="34" t="inlineStr">
        <is>
          <t>Mosman Church of England Preparatory School</t>
        </is>
      </c>
      <c r="B40" s="50" t="n">
        <v>44022</v>
      </c>
      <c r="C40" s="43" t="inlineStr">
        <is>
          <t>Mosman</t>
        </is>
      </c>
      <c r="D40" s="43" t="inlineStr">
        <is>
          <t>Independent</t>
        </is>
      </c>
      <c r="E40" s="32" t="n">
        <v>36</v>
      </c>
      <c r="F40" s="32" t="n">
        <v>36</v>
      </c>
      <c r="G40" s="32" t="n">
        <v>33</v>
      </c>
      <c r="H40" s="32" t="n">
        <v>37</v>
      </c>
      <c r="I40" s="32" t="n">
        <v>18</v>
      </c>
      <c r="J40" s="32" t="n">
        <v>18</v>
      </c>
      <c r="K40" s="32" t="n">
        <v>20</v>
      </c>
      <c r="L40" s="32" t="n">
        <v>20</v>
      </c>
      <c r="M40" s="32" t="n">
        <v>24</v>
      </c>
      <c r="N40" s="32" t="n">
        <v>27</v>
      </c>
    </row>
    <row r="41">
      <c r="A41" s="34" t="inlineStr">
        <is>
          <t>Queenwood</t>
        </is>
      </c>
      <c r="B41" s="50" t="n">
        <v>43795</v>
      </c>
      <c r="C41" s="43" t="inlineStr">
        <is>
          <t>Mosman</t>
        </is>
      </c>
      <c r="D41" s="43" t="inlineStr">
        <is>
          <t>Independent</t>
        </is>
      </c>
      <c r="E41" s="32" t="n">
        <v>28</v>
      </c>
      <c r="F41" s="32" t="n">
        <v>39</v>
      </c>
      <c r="G41" s="32" t="n">
        <v>34</v>
      </c>
      <c r="H41" s="32" t="n">
        <v>37</v>
      </c>
      <c r="I41" s="32" t="n">
        <v>29</v>
      </c>
      <c r="J41" s="32" t="n">
        <v>37</v>
      </c>
      <c r="K41" s="32" t="n">
        <v>23</v>
      </c>
      <c r="L41" s="32" t="n">
        <v>20</v>
      </c>
      <c r="M41" s="32" t="n">
        <v>19</v>
      </c>
      <c r="N41" s="32" t="n">
        <v>20</v>
      </c>
    </row>
    <row r="42">
      <c r="A42" s="34" t="inlineStr">
        <is>
          <t>Denistone East Public School</t>
        </is>
      </c>
      <c r="B42" s="50" t="n">
        <v>41256</v>
      </c>
      <c r="C42" s="43" t="inlineStr">
        <is>
          <t>Ryde</t>
        </is>
      </c>
      <c r="D42" s="43" t="inlineStr">
        <is>
          <t>Government</t>
        </is>
      </c>
      <c r="E42" s="32" t="n">
        <v>115</v>
      </c>
      <c r="F42" s="32" t="n">
        <v>101</v>
      </c>
      <c r="G42" s="32" t="n">
        <v>131</v>
      </c>
      <c r="H42" s="32" t="n">
        <v>128</v>
      </c>
      <c r="I42" s="32" t="n">
        <v>120</v>
      </c>
      <c r="J42" s="32" t="n">
        <v>105</v>
      </c>
      <c r="K42" s="32" t="n">
        <v>119</v>
      </c>
      <c r="L42" s="32" t="n">
        <v>129</v>
      </c>
      <c r="M42" s="32" t="n">
        <v>105</v>
      </c>
      <c r="N42" s="32" t="n">
        <v>122</v>
      </c>
    </row>
    <row r="43" ht="28.5" customHeight="1">
      <c r="A43" s="34" t="inlineStr">
        <is>
          <t>Eastwood Heights Public School</t>
        </is>
      </c>
      <c r="B43" s="50" t="n">
        <v>41275</v>
      </c>
      <c r="C43" s="43" t="inlineStr">
        <is>
          <t>Ryde</t>
        </is>
      </c>
      <c r="D43" s="43" t="inlineStr">
        <is>
          <t>Government</t>
        </is>
      </c>
      <c r="E43" s="32" t="n">
        <v>81</v>
      </c>
      <c r="F43" s="32" t="n">
        <v>87</v>
      </c>
      <c r="G43" s="32" t="n">
        <v>90</v>
      </c>
      <c r="H43" s="32" t="n">
        <v>86</v>
      </c>
      <c r="I43" s="32" t="n">
        <v>67</v>
      </c>
      <c r="J43" s="32" t="n">
        <v>71</v>
      </c>
      <c r="K43" s="32" t="n">
        <v>66</v>
      </c>
      <c r="L43" s="32" t="n">
        <v>63</v>
      </c>
      <c r="M43" s="32" t="n">
        <v>56</v>
      </c>
      <c r="N43" s="32" t="n">
        <v>45</v>
      </c>
    </row>
    <row r="44">
      <c r="A44" s="34" t="inlineStr">
        <is>
          <t>Eastwood Public School</t>
        </is>
      </c>
      <c r="B44" s="50" t="n">
        <v>41317</v>
      </c>
      <c r="C44" s="43" t="inlineStr">
        <is>
          <t>Ryde</t>
        </is>
      </c>
      <c r="D44" s="43" t="inlineStr">
        <is>
          <t>Government</t>
        </is>
      </c>
      <c r="E44" s="32" t="n">
        <v>97</v>
      </c>
      <c r="F44" s="32" t="n">
        <v>131</v>
      </c>
      <c r="G44" s="32" t="n">
        <v>139</v>
      </c>
      <c r="H44" s="32" t="n">
        <v>138</v>
      </c>
      <c r="I44" s="32" t="n">
        <v>133</v>
      </c>
      <c r="J44" s="32" t="n">
        <v>117</v>
      </c>
      <c r="K44" s="32" t="n">
        <v>121</v>
      </c>
      <c r="L44" s="32" t="n">
        <v>87</v>
      </c>
      <c r="M44" s="32" t="n">
        <v>90</v>
      </c>
      <c r="N44" s="32" t="n">
        <v>88</v>
      </c>
    </row>
    <row r="45">
      <c r="A45" s="34" t="inlineStr">
        <is>
          <t>Ermington Public School</t>
        </is>
      </c>
      <c r="B45" s="50" t="n">
        <v>41210</v>
      </c>
      <c r="C45" s="43" t="inlineStr">
        <is>
          <t>Ryde</t>
        </is>
      </c>
      <c r="D45" s="43" t="inlineStr">
        <is>
          <t>Government</t>
        </is>
      </c>
      <c r="E45" s="32" t="n">
        <v>59</v>
      </c>
      <c r="F45" s="32" t="n">
        <v>61</v>
      </c>
      <c r="G45" s="32" t="n">
        <v>58</v>
      </c>
      <c r="H45" s="32" t="n">
        <v>39</v>
      </c>
      <c r="I45" s="32" t="n">
        <v>60</v>
      </c>
      <c r="J45" s="32" t="n">
        <v>54</v>
      </c>
      <c r="K45" s="32" t="n">
        <v>70</v>
      </c>
      <c r="L45" s="32" t="n">
        <v>57</v>
      </c>
      <c r="M45" s="32" t="n">
        <v>68</v>
      </c>
      <c r="N45" s="32" t="n">
        <v>58</v>
      </c>
    </row>
    <row r="46">
      <c r="A46" s="34" t="inlineStr">
        <is>
          <t>Gladesville Public School</t>
        </is>
      </c>
      <c r="B46" s="50" t="n">
        <v>41213</v>
      </c>
      <c r="C46" s="43" t="inlineStr">
        <is>
          <t>Ryde</t>
        </is>
      </c>
      <c r="D46" s="43" t="inlineStr">
        <is>
          <t>Government</t>
        </is>
      </c>
      <c r="E46" s="32" t="n">
        <v>78</v>
      </c>
      <c r="F46" s="32" t="n">
        <v>67</v>
      </c>
      <c r="G46" s="32" t="n">
        <v>98</v>
      </c>
      <c r="H46" s="32" t="n">
        <v>79</v>
      </c>
      <c r="I46" s="32" t="n">
        <v>70</v>
      </c>
      <c r="J46" s="32" t="n">
        <v>64</v>
      </c>
      <c r="K46" s="32" t="n">
        <v>72</v>
      </c>
      <c r="L46" s="32" t="n">
        <v>33</v>
      </c>
      <c r="M46" s="32" t="n">
        <v>43</v>
      </c>
      <c r="N46" s="32" t="n">
        <v>37</v>
      </c>
    </row>
    <row r="47">
      <c r="A47" s="34" t="inlineStr">
        <is>
          <t>Kent Road Public School</t>
        </is>
      </c>
      <c r="B47" s="50" t="n">
        <v>41277</v>
      </c>
      <c r="C47" s="43" t="inlineStr">
        <is>
          <t>Ryde</t>
        </is>
      </c>
      <c r="D47" s="43" t="inlineStr">
        <is>
          <t>Government</t>
        </is>
      </c>
      <c r="E47" s="32" t="n">
        <v>114</v>
      </c>
      <c r="F47" s="32" t="n">
        <v>121</v>
      </c>
      <c r="G47" s="32" t="n">
        <v>137</v>
      </c>
      <c r="H47" s="32" t="n">
        <v>129</v>
      </c>
      <c r="I47" s="32" t="n">
        <v>150</v>
      </c>
      <c r="J47" s="32" t="n">
        <v>120</v>
      </c>
      <c r="K47" s="32" t="n">
        <v>131</v>
      </c>
      <c r="L47" s="32" t="n">
        <v>165</v>
      </c>
      <c r="M47" s="32" t="n">
        <v>132</v>
      </c>
      <c r="N47" s="32" t="n">
        <v>141</v>
      </c>
    </row>
    <row r="48">
      <c r="A48" s="34" t="inlineStr">
        <is>
          <t>Meadowbank Public School</t>
        </is>
      </c>
      <c r="B48" s="50" t="n">
        <v>41257</v>
      </c>
      <c r="C48" s="43" t="inlineStr">
        <is>
          <t>Ryde</t>
        </is>
      </c>
      <c r="D48" s="43" t="inlineStr">
        <is>
          <t>Government</t>
        </is>
      </c>
      <c r="E48" s="32" t="n">
        <v>59</v>
      </c>
      <c r="F48" s="32" t="n">
        <v>64</v>
      </c>
      <c r="G48" s="32" t="n">
        <v>82</v>
      </c>
      <c r="H48" s="32" t="n">
        <v>102</v>
      </c>
      <c r="I48" s="32" t="n">
        <v>111</v>
      </c>
      <c r="J48" s="32" t="n">
        <v>101</v>
      </c>
      <c r="K48" s="32" t="n">
        <v>106</v>
      </c>
      <c r="L48" s="32" t="n">
        <v>113</v>
      </c>
      <c r="M48" s="32" t="n">
        <v>110</v>
      </c>
      <c r="N48" s="32" t="n">
        <v>84</v>
      </c>
    </row>
    <row r="49">
      <c r="A49" s="34" t="inlineStr">
        <is>
          <t>North Ryde Public School</t>
        </is>
      </c>
      <c r="B49" s="50" t="n">
        <v>41240</v>
      </c>
      <c r="C49" s="43" t="inlineStr">
        <is>
          <t>Ryde</t>
        </is>
      </c>
      <c r="D49" s="43" t="inlineStr">
        <is>
          <t>Government</t>
        </is>
      </c>
      <c r="E49" s="32" t="n">
        <v>70</v>
      </c>
      <c r="F49" s="32" t="n">
        <v>65</v>
      </c>
      <c r="G49" s="32" t="n">
        <v>73</v>
      </c>
      <c r="H49" s="32" t="n">
        <v>75</v>
      </c>
      <c r="I49" s="32" t="n">
        <v>53</v>
      </c>
      <c r="J49" s="32" t="n">
        <v>68</v>
      </c>
      <c r="K49" s="32" t="n">
        <v>46</v>
      </c>
      <c r="L49" s="32" t="n">
        <v>50</v>
      </c>
      <c r="M49" s="32" t="n">
        <v>40</v>
      </c>
      <c r="N49" s="32" t="n">
        <v>40</v>
      </c>
    </row>
    <row r="50">
      <c r="A50" s="34" t="inlineStr">
        <is>
          <t>Putney Public School</t>
        </is>
      </c>
      <c r="B50" s="50" t="n">
        <v>41237</v>
      </c>
      <c r="C50" s="43" t="inlineStr">
        <is>
          <t>Ryde</t>
        </is>
      </c>
      <c r="D50" s="43" t="inlineStr">
        <is>
          <t>Government</t>
        </is>
      </c>
      <c r="E50" s="32" t="n">
        <v>72</v>
      </c>
      <c r="F50" s="32" t="n">
        <v>53</v>
      </c>
      <c r="G50" s="32" t="n">
        <v>67</v>
      </c>
      <c r="H50" s="32" t="n">
        <v>75</v>
      </c>
      <c r="I50" s="32" t="n">
        <v>80</v>
      </c>
      <c r="J50" s="32" t="n">
        <v>54</v>
      </c>
      <c r="K50" s="32" t="n">
        <v>56</v>
      </c>
      <c r="L50" s="32" t="n">
        <v>55</v>
      </c>
      <c r="M50" s="32" t="n">
        <v>44</v>
      </c>
      <c r="N50" s="32" t="n">
        <v>41</v>
      </c>
    </row>
    <row r="51">
      <c r="A51" s="34" t="inlineStr">
        <is>
          <t>Ryde East Public School</t>
        </is>
      </c>
      <c r="B51" s="50" t="n">
        <v>41284</v>
      </c>
      <c r="C51" s="43" t="inlineStr">
        <is>
          <t>Ryde</t>
        </is>
      </c>
      <c r="D51" s="43" t="inlineStr">
        <is>
          <t>Government</t>
        </is>
      </c>
      <c r="E51" s="32" t="n">
        <v>74</v>
      </c>
      <c r="F51" s="32" t="n">
        <v>89</v>
      </c>
      <c r="G51" s="32" t="n">
        <v>86</v>
      </c>
      <c r="H51" s="32" t="n">
        <v>85</v>
      </c>
      <c r="I51" s="32" t="n">
        <v>83</v>
      </c>
      <c r="J51" s="32" t="n">
        <v>60</v>
      </c>
      <c r="K51" s="32" t="n">
        <v>67</v>
      </c>
      <c r="L51" s="32" t="n">
        <v>47</v>
      </c>
      <c r="M51" s="32" t="n">
        <v>35</v>
      </c>
      <c r="N51" s="32" t="n">
        <v>42</v>
      </c>
    </row>
    <row r="52">
      <c r="A52" s="34" t="inlineStr">
        <is>
          <t>Ryde Public School</t>
        </is>
      </c>
      <c r="B52" s="50" t="n">
        <v>41239</v>
      </c>
      <c r="C52" s="43" t="inlineStr">
        <is>
          <t>Ryde</t>
        </is>
      </c>
      <c r="D52" s="43" t="inlineStr">
        <is>
          <t>Government</t>
        </is>
      </c>
      <c r="E52" s="32" t="n">
        <v>81</v>
      </c>
      <c r="F52" s="32" t="n">
        <v>90</v>
      </c>
      <c r="G52" s="32" t="n">
        <v>98</v>
      </c>
      <c r="H52" s="32" t="n">
        <v>59</v>
      </c>
      <c r="I52" s="32" t="n">
        <v>71</v>
      </c>
      <c r="J52" s="32" t="n">
        <v>72</v>
      </c>
      <c r="K52" s="32" t="n">
        <v>62</v>
      </c>
      <c r="L52" s="32" t="n">
        <v>57</v>
      </c>
      <c r="M52" s="32" t="n">
        <v>67</v>
      </c>
      <c r="N52" s="32" t="n">
        <v>45</v>
      </c>
    </row>
    <row r="53">
      <c r="A53" s="34" t="inlineStr">
        <is>
          <t>Smalls Road Public School</t>
        </is>
      </c>
      <c r="B53" s="50" t="n">
        <v>52830</v>
      </c>
      <c r="C53" s="43" t="inlineStr">
        <is>
          <t>Ryde</t>
        </is>
      </c>
      <c r="D53" s="43" t="inlineStr">
        <is>
          <t>Government</t>
        </is>
      </c>
      <c r="E53" s="32" t="n"/>
      <c r="F53" s="32" t="n"/>
      <c r="G53" s="32" t="n"/>
      <c r="H53" s="32" t="n"/>
      <c r="I53" s="32" t="n">
        <v>55</v>
      </c>
      <c r="J53" s="32" t="n">
        <v>81</v>
      </c>
      <c r="K53" s="32" t="n">
        <v>97</v>
      </c>
      <c r="L53" s="32" t="n">
        <v>87</v>
      </c>
      <c r="M53" s="32" t="n">
        <v>85</v>
      </c>
      <c r="N53" s="32" t="n">
        <v>85</v>
      </c>
    </row>
    <row r="54" ht="28.5" customHeight="1">
      <c r="A54" s="34" t="inlineStr">
        <is>
          <t>Truscott Street Public School</t>
        </is>
      </c>
      <c r="B54" s="50" t="n">
        <v>41278</v>
      </c>
      <c r="C54" s="43" t="inlineStr">
        <is>
          <t>Ryde</t>
        </is>
      </c>
      <c r="D54" s="43" t="inlineStr">
        <is>
          <t>Government</t>
        </is>
      </c>
      <c r="E54" s="32" t="n">
        <v>43</v>
      </c>
      <c r="F54" s="32" t="n">
        <v>41</v>
      </c>
      <c r="G54" s="32" t="n">
        <v>44</v>
      </c>
      <c r="H54" s="32" t="n">
        <v>48</v>
      </c>
      <c r="I54" s="32" t="n">
        <v>44</v>
      </c>
      <c r="J54" s="32" t="n">
        <v>48</v>
      </c>
      <c r="K54" s="32" t="n">
        <v>47</v>
      </c>
      <c r="L54" s="32" t="n">
        <v>36</v>
      </c>
      <c r="M54" s="32" t="n">
        <v>40</v>
      </c>
      <c r="N54" s="32" t="n">
        <v>43</v>
      </c>
    </row>
    <row r="55">
      <c r="A55" s="34" t="inlineStr">
        <is>
          <t>West Ryde Public School</t>
        </is>
      </c>
      <c r="B55" s="50" t="n">
        <v>41241</v>
      </c>
      <c r="C55" s="43" t="inlineStr">
        <is>
          <t>Ryde</t>
        </is>
      </c>
      <c r="D55" s="43" t="inlineStr">
        <is>
          <t>Government</t>
        </is>
      </c>
      <c r="E55" s="32" t="n">
        <v>102</v>
      </c>
      <c r="F55" s="32" t="n">
        <v>129</v>
      </c>
      <c r="G55" s="32" t="n">
        <v>122</v>
      </c>
      <c r="H55" s="32" t="n">
        <v>104</v>
      </c>
      <c r="I55" s="32" t="n">
        <v>87</v>
      </c>
      <c r="J55" s="32" t="n">
        <v>96</v>
      </c>
      <c r="K55" s="32" t="n">
        <v>90</v>
      </c>
      <c r="L55" s="32" t="n">
        <v>62</v>
      </c>
      <c r="M55" s="32" t="n">
        <v>76</v>
      </c>
      <c r="N55" s="32" t="n">
        <v>77</v>
      </c>
    </row>
    <row r="56" ht="28.5" customHeight="1">
      <c r="A56" s="34" t="inlineStr">
        <is>
          <t>Holy Spirit Catholic Primary School</t>
        </is>
      </c>
      <c r="B56" s="50" t="n">
        <v>43439</v>
      </c>
      <c r="C56" s="43" t="inlineStr">
        <is>
          <t>Ryde</t>
        </is>
      </c>
      <c r="D56" s="43" t="inlineStr">
        <is>
          <t>Catholic</t>
        </is>
      </c>
      <c r="E56" s="32" t="n">
        <v>89</v>
      </c>
      <c r="F56" s="32" t="n">
        <v>63</v>
      </c>
      <c r="G56" s="32" t="n">
        <v>68</v>
      </c>
      <c r="H56" s="32" t="n">
        <v>68</v>
      </c>
      <c r="I56" s="32" t="n">
        <v>57</v>
      </c>
      <c r="J56" s="32" t="n">
        <v>64</v>
      </c>
      <c r="K56" s="32" t="n">
        <v>53</v>
      </c>
      <c r="L56" s="32" t="n">
        <v>55</v>
      </c>
      <c r="M56" s="32" t="n">
        <v>57</v>
      </c>
      <c r="N56" s="32" t="n">
        <v>70</v>
      </c>
    </row>
    <row r="57" ht="28.5" customHeight="1">
      <c r="A57" s="34" t="inlineStr">
        <is>
          <t>Our Lady Queen of Peace Catholic Primary School</t>
        </is>
      </c>
      <c r="B57" s="50" t="n">
        <v>43406</v>
      </c>
      <c r="C57" s="43" t="inlineStr">
        <is>
          <t>Ryde</t>
        </is>
      </c>
      <c r="D57" s="43" t="inlineStr">
        <is>
          <t>Catholic</t>
        </is>
      </c>
      <c r="E57" s="32" t="n">
        <v>18</v>
      </c>
      <c r="F57" s="32" t="n">
        <v>22</v>
      </c>
      <c r="G57" s="32" t="n">
        <v>17</v>
      </c>
      <c r="H57" s="32" t="n">
        <v>16</v>
      </c>
      <c r="I57" s="32" t="n">
        <v>23</v>
      </c>
      <c r="J57" s="32" t="n">
        <v>28</v>
      </c>
      <c r="K57" s="32" t="n">
        <v>24</v>
      </c>
      <c r="L57" s="32" t="n">
        <v>25</v>
      </c>
      <c r="M57" s="32" t="n">
        <v>38</v>
      </c>
      <c r="N57" s="32" t="n">
        <v>31</v>
      </c>
    </row>
    <row r="58" ht="28.5" customHeight="1">
      <c r="A58" s="34" t="inlineStr">
        <is>
          <t>St Anthony's Catholic Primary School</t>
        </is>
      </c>
      <c r="B58" s="50" t="n">
        <v>43429</v>
      </c>
      <c r="C58" s="43" t="inlineStr">
        <is>
          <t>Ryde</t>
        </is>
      </c>
      <c r="D58" s="43" t="inlineStr">
        <is>
          <t>Catholic</t>
        </is>
      </c>
      <c r="E58" s="32" t="n">
        <v>41</v>
      </c>
      <c r="F58" s="32" t="n">
        <v>33</v>
      </c>
      <c r="G58" s="32" t="n">
        <v>46</v>
      </c>
      <c r="H58" s="32" t="n">
        <v>39</v>
      </c>
      <c r="I58" s="32" t="n">
        <v>43</v>
      </c>
      <c r="J58" s="32" t="n">
        <v>32</v>
      </c>
      <c r="K58" s="32" t="n">
        <v>37</v>
      </c>
      <c r="L58" s="32" t="n">
        <v>48</v>
      </c>
      <c r="M58" s="32" t="n">
        <v>48</v>
      </c>
      <c r="N58" s="32" t="n">
        <v>50</v>
      </c>
    </row>
    <row r="59" ht="28.5" customHeight="1">
      <c r="A59" s="34" t="inlineStr">
        <is>
          <t>St Charles Catholic Primary School</t>
        </is>
      </c>
      <c r="B59" s="50" t="n">
        <v>43454</v>
      </c>
      <c r="C59" s="43" t="inlineStr">
        <is>
          <t>Ryde</t>
        </is>
      </c>
      <c r="D59" s="43" t="inlineStr">
        <is>
          <t>Catholic</t>
        </is>
      </c>
      <c r="E59" s="32" t="n">
        <v>69</v>
      </c>
      <c r="F59" s="32" t="n">
        <v>80</v>
      </c>
      <c r="G59" s="32" t="n">
        <v>77</v>
      </c>
      <c r="H59" s="32" t="n">
        <v>87</v>
      </c>
      <c r="I59" s="32" t="n">
        <v>85</v>
      </c>
      <c r="J59" s="32" t="n">
        <v>91</v>
      </c>
      <c r="K59" s="32" t="n">
        <v>82</v>
      </c>
      <c r="L59" s="32" t="n">
        <v>88</v>
      </c>
      <c r="M59" s="32" t="n">
        <v>85</v>
      </c>
      <c r="N59" s="32" t="n">
        <v>85</v>
      </c>
    </row>
    <row r="60" ht="28.5" customHeight="1">
      <c r="A60" s="34" t="inlineStr">
        <is>
          <t>St Kevin's Catholic Primary School</t>
        </is>
      </c>
      <c r="B60" s="50" t="n">
        <v>43398</v>
      </c>
      <c r="C60" s="43" t="inlineStr">
        <is>
          <t>Ryde</t>
        </is>
      </c>
      <c r="D60" s="43" t="inlineStr">
        <is>
          <t>Catholic</t>
        </is>
      </c>
      <c r="E60" s="32" t="n">
        <v>61</v>
      </c>
      <c r="F60" s="32" t="n">
        <v>65</v>
      </c>
      <c r="G60" s="32" t="n">
        <v>54</v>
      </c>
      <c r="H60" s="32" t="n">
        <v>58</v>
      </c>
      <c r="I60" s="32" t="n">
        <v>40</v>
      </c>
      <c r="J60" s="32" t="n">
        <v>41</v>
      </c>
      <c r="K60" s="32" t="n">
        <v>50</v>
      </c>
      <c r="L60" s="32" t="n">
        <v>38</v>
      </c>
      <c r="M60" s="32" t="n">
        <v>53</v>
      </c>
      <c r="N60" s="32" t="n">
        <v>54</v>
      </c>
    </row>
    <row r="61" ht="28.5" customHeight="1">
      <c r="A61" s="34" t="inlineStr">
        <is>
          <t>St Michael's Catholic Primary School, Meadowbank</t>
        </is>
      </c>
      <c r="B61" s="50" t="n">
        <v>43432</v>
      </c>
      <c r="C61" s="43" t="inlineStr">
        <is>
          <t>Ryde</t>
        </is>
      </c>
      <c r="D61" s="43" t="inlineStr">
        <is>
          <t>Catholic</t>
        </is>
      </c>
      <c r="E61" s="32" t="n">
        <v>45</v>
      </c>
      <c r="F61" s="32" t="n">
        <v>48</v>
      </c>
      <c r="G61" s="32" t="n">
        <v>53</v>
      </c>
      <c r="H61" s="32" t="n">
        <v>60</v>
      </c>
      <c r="I61" s="32" t="n">
        <v>50</v>
      </c>
      <c r="J61" s="32" t="n">
        <v>63</v>
      </c>
      <c r="K61" s="32" t="n">
        <v>60</v>
      </c>
      <c r="L61" s="32" t="n">
        <v>64</v>
      </c>
      <c r="M61" s="32" t="n">
        <v>62</v>
      </c>
      <c r="N61" s="32" t="n">
        <v>64</v>
      </c>
    </row>
    <row r="62" ht="28.5" customHeight="1">
      <c r="A62" s="34" t="inlineStr">
        <is>
          <t>St Therese's Catholic Primary School</t>
        </is>
      </c>
      <c r="B62" s="50" t="n">
        <v>43394</v>
      </c>
      <c r="C62" s="43" t="inlineStr">
        <is>
          <t>Ryde</t>
        </is>
      </c>
      <c r="D62" s="43" t="inlineStr">
        <is>
          <t>Catholic</t>
        </is>
      </c>
      <c r="E62" s="32" t="n">
        <v>24</v>
      </c>
      <c r="F62" s="32" t="n">
        <v>16</v>
      </c>
      <c r="G62" s="32" t="n">
        <v>17</v>
      </c>
      <c r="H62" s="32" t="n">
        <v>23</v>
      </c>
      <c r="I62" s="32" t="n">
        <v>14</v>
      </c>
      <c r="J62" s="32" t="n">
        <v>26</v>
      </c>
      <c r="K62" s="32" t="n">
        <v>29</v>
      </c>
      <c r="L62" s="32" t="n">
        <v>22</v>
      </c>
      <c r="M62" s="32" t="n">
        <v>25</v>
      </c>
      <c r="N62" s="32" t="n">
        <v>21</v>
      </c>
    </row>
    <row r="63">
      <c r="A63" s="34" t="inlineStr">
        <is>
          <t>Italian Bilingual School</t>
        </is>
      </c>
      <c r="B63" s="50" t="n">
        <v>43899</v>
      </c>
      <c r="C63" s="43" t="inlineStr">
        <is>
          <t>Ryde</t>
        </is>
      </c>
      <c r="D63" s="43" t="inlineStr">
        <is>
          <t>Independent</t>
        </is>
      </c>
      <c r="E63" s="32" t="n">
        <v>15</v>
      </c>
      <c r="F63" s="32" t="n">
        <v>19</v>
      </c>
      <c r="G63" s="32" t="n">
        <v>11</v>
      </c>
      <c r="H63" s="32" t="n">
        <v>18</v>
      </c>
      <c r="I63" s="32" t="n">
        <v>21</v>
      </c>
      <c r="J63" s="32" t="n">
        <v>20</v>
      </c>
      <c r="K63" s="32" t="n">
        <v>18</v>
      </c>
      <c r="L63" s="32" t="n">
        <v>20</v>
      </c>
      <c r="M63" s="32" t="n">
        <v>14</v>
      </c>
      <c r="N63" s="32" t="n">
        <v>18</v>
      </c>
    </row>
    <row r="64">
      <c r="A64" s="34" t="inlineStr">
        <is>
          <t>Northcross Christian School</t>
        </is>
      </c>
      <c r="B64" s="50" t="n">
        <v>43896</v>
      </c>
      <c r="C64" s="43" t="inlineStr">
        <is>
          <t>Ryde</t>
        </is>
      </c>
      <c r="D64" s="43" t="inlineStr">
        <is>
          <t>Independent</t>
        </is>
      </c>
      <c r="E64" s="32" t="n">
        <v>52</v>
      </c>
      <c r="F64" s="32" t="n">
        <v>52</v>
      </c>
      <c r="G64" s="32" t="n">
        <v>52</v>
      </c>
      <c r="H64" s="32" t="n">
        <v>52</v>
      </c>
      <c r="I64" s="32" t="n">
        <v>52</v>
      </c>
      <c r="J64" s="32" t="n">
        <v>52</v>
      </c>
      <c r="K64" s="32" t="n">
        <v>51</v>
      </c>
      <c r="L64" s="32" t="n">
        <v>52</v>
      </c>
      <c r="M64" s="32" t="n">
        <v>52</v>
      </c>
      <c r="N64" s="32" t="n">
        <v>52</v>
      </c>
    </row>
    <row r="65" ht="28.5" customHeight="1">
      <c r="A65" s="34" t="inlineStr">
        <is>
          <t>The Children's House Montessori</t>
        </is>
      </c>
      <c r="B65" s="50" t="n">
        <v>52374</v>
      </c>
      <c r="C65" s="43" t="inlineStr">
        <is>
          <t>Ryde</t>
        </is>
      </c>
      <c r="D65" s="43" t="inlineStr">
        <is>
          <t>Independent</t>
        </is>
      </c>
      <c r="E65" s="32" t="n"/>
      <c r="F65" s="32" t="n"/>
      <c r="G65" s="32" t="n"/>
      <c r="H65" s="32" t="n"/>
      <c r="I65" s="32" t="n">
        <v>5</v>
      </c>
      <c r="J65" s="32" t="n">
        <v>8</v>
      </c>
      <c r="K65" s="32" t="n">
        <v>8</v>
      </c>
      <c r="L65" s="32" t="n">
        <v>8</v>
      </c>
      <c r="M65" s="32" t="n">
        <v>12</v>
      </c>
      <c r="N65" s="32" t="n">
        <v>8</v>
      </c>
    </row>
    <row r="66"/>
    <row r="67" ht="28.5" customHeight="1">
      <c r="A67" s="34" t="inlineStr">
        <is>
          <t>Council and sector totals (our sums, by formula)</t>
        </is>
      </c>
    </row>
    <row r="68">
      <c r="A68" s="34" t="inlineStr">
        <is>
          <t>Lane Cove: government</t>
        </is>
      </c>
      <c r="C68" s="43" t="inlineStr">
        <is>
          <t>Lane Cove</t>
        </is>
      </c>
      <c r="D68" s="43" t="inlineStr">
        <is>
          <t>Government</t>
        </is>
      </c>
      <c r="E68" s="33">
        <f>SUMIFS(E$5:E$65,$C$5:$C$65,$C68,$D$5:$D$65,$D68)</f>
        <v>278</v>
      </c>
      <c r="F68" s="33">
        <f>SUMIFS(F$5:F$65,$C$5:$C$65,$C68,$D$5:$D$65,$D68)</f>
        <v>306</v>
      </c>
      <c r="G68" s="33">
        <f>SUMIFS(G$5:G$65,$C$5:$C$65,$C68,$D$5:$D$65,$D68)</f>
        <v>324</v>
      </c>
      <c r="H68" s="33">
        <f>SUMIFS(H$5:H$65,$C$5:$C$65,$C68,$D$5:$D$65,$D68)</f>
        <v>323</v>
      </c>
      <c r="I68" s="33">
        <f>SUMIFS(I$5:I$65,$C$5:$C$65,$C68,$D$5:$D$65,$D68)</f>
        <v>272</v>
      </c>
      <c r="J68" s="33">
        <f>SUMIFS(J$5:J$65,$C$5:$C$65,$C68,$D$5:$D$65,$D68)</f>
        <v>299</v>
      </c>
      <c r="K68" s="33">
        <f>SUMIFS(K$5:K$65,$C$5:$C$65,$C68,$D$5:$D$65,$D68)</f>
        <v>252</v>
      </c>
      <c r="L68" s="33">
        <f>SUMIFS(L$5:L$65,$C$5:$C$65,$C68,$D$5:$D$65,$D68)</f>
        <v>231</v>
      </c>
      <c r="M68" s="33">
        <f>SUMIFS(M$5:M$65,$C$5:$C$65,$C68,$D$5:$D$65,$D68)</f>
        <v>234</v>
      </c>
      <c r="N68" s="33">
        <f>SUMIFS(N$5:N$65,$C$5:$C$65,$C68,$D$5:$D$65,$D68)</f>
        <v>208</v>
      </c>
    </row>
    <row r="69">
      <c r="A69" s="34" t="inlineStr">
        <is>
          <t>Lane Cove: Catholic</t>
        </is>
      </c>
      <c r="C69" s="43" t="inlineStr">
        <is>
          <t>Lane Cove</t>
        </is>
      </c>
      <c r="D69" s="43" t="inlineStr">
        <is>
          <t>Catholic</t>
        </is>
      </c>
      <c r="E69" s="33">
        <f>SUMIFS(E$5:E$65,$C$5:$C$65,$C69,$D$5:$D$65,$D69)</f>
        <v>82</v>
      </c>
      <c r="F69" s="33">
        <f>SUMIFS(F$5:F$65,$C$5:$C$65,$C69,$D$5:$D$65,$D69)</f>
        <v>94</v>
      </c>
      <c r="G69" s="33">
        <f>SUMIFS(G$5:G$65,$C$5:$C$65,$C69,$D$5:$D$65,$D69)</f>
        <v>76</v>
      </c>
      <c r="H69" s="33">
        <f>SUMIFS(H$5:H$65,$C$5:$C$65,$C69,$D$5:$D$65,$D69)</f>
        <v>72</v>
      </c>
      <c r="I69" s="33">
        <f>SUMIFS(I$5:I$65,$C$5:$C$65,$C69,$D$5:$D$65,$D69)</f>
        <v>88</v>
      </c>
      <c r="J69" s="33">
        <f>SUMIFS(J$5:J$65,$C$5:$C$65,$C69,$D$5:$D$65,$D69)</f>
        <v>100</v>
      </c>
      <c r="K69" s="33">
        <f>SUMIFS(K$5:K$65,$C$5:$C$65,$C69,$D$5:$D$65,$D69)</f>
        <v>77</v>
      </c>
      <c r="L69" s="33">
        <f>SUMIFS(L$5:L$65,$C$5:$C$65,$C69,$D$5:$D$65,$D69)</f>
        <v>77</v>
      </c>
      <c r="M69" s="33">
        <f>SUMIFS(M$5:M$65,$C$5:$C$65,$C69,$D$5:$D$65,$D69)</f>
        <v>73</v>
      </c>
      <c r="N69" s="33">
        <f>SUMIFS(N$5:N$65,$C$5:$C$65,$C69,$D$5:$D$65,$D69)</f>
        <v>78</v>
      </c>
    </row>
    <row r="70">
      <c r="A70" s="34" t="inlineStr">
        <is>
          <t>Lane Cove: independent</t>
        </is>
      </c>
      <c r="C70" s="43" t="inlineStr">
        <is>
          <t>Lane Cove</t>
        </is>
      </c>
      <c r="D70" s="43" t="inlineStr">
        <is>
          <t>Independent</t>
        </is>
      </c>
      <c r="E70" s="33">
        <f>SUMIFS(E$5:E$65,$C$5:$C$65,$C70,$D$5:$D$65,$D70)</f>
        <v>17</v>
      </c>
      <c r="F70" s="33">
        <f>SUMIFS(F$5:F$65,$C$5:$C$65,$C70,$D$5:$D$65,$D70)</f>
        <v>17</v>
      </c>
      <c r="G70" s="33">
        <f>SUMIFS(G$5:G$65,$C$5:$C$65,$C70,$D$5:$D$65,$D70)</f>
        <v>13</v>
      </c>
      <c r="H70" s="33">
        <f>SUMIFS(H$5:H$65,$C$5:$C$65,$C70,$D$5:$D$65,$D70)</f>
        <v>16</v>
      </c>
      <c r="I70" s="33">
        <f>SUMIFS(I$5:I$65,$C$5:$C$65,$C70,$D$5:$D$65,$D70)</f>
        <v>11</v>
      </c>
      <c r="J70" s="33">
        <f>SUMIFS(J$5:J$65,$C$5:$C$65,$C70,$D$5:$D$65,$D70)</f>
        <v>15</v>
      </c>
      <c r="K70" s="33">
        <f>SUMIFS(K$5:K$65,$C$5:$C$65,$C70,$D$5:$D$65,$D70)</f>
        <v>20</v>
      </c>
      <c r="L70" s="33">
        <f>SUMIFS(L$5:L$65,$C$5:$C$65,$C70,$D$5:$D$65,$D70)</f>
        <v>15</v>
      </c>
      <c r="M70" s="33">
        <f>SUMIFS(M$5:M$65,$C$5:$C$65,$C70,$D$5:$D$65,$D70)</f>
        <v>12</v>
      </c>
      <c r="N70" s="33">
        <f>SUMIFS(N$5:N$65,$C$5:$C$65,$C70,$D$5:$D$65,$D70)</f>
        <v>14</v>
      </c>
    </row>
    <row r="71">
      <c r="A71" s="34" t="inlineStr">
        <is>
          <t>Lane Cove: all sectors</t>
        </is>
      </c>
      <c r="C71" s="43" t="inlineStr">
        <is>
          <t>Lane Cove</t>
        </is>
      </c>
      <c r="D71" s="43" t="inlineStr">
        <is>
          <t>All sectors</t>
        </is>
      </c>
      <c r="E71" s="33">
        <f>SUM(E68:E70)</f>
        <v>377</v>
      </c>
      <c r="F71" s="33">
        <f>SUM(F68:F70)</f>
        <v>417</v>
      </c>
      <c r="G71" s="33">
        <f>SUM(G68:G70)</f>
        <v>413</v>
      </c>
      <c r="H71" s="33">
        <f>SUM(H68:H70)</f>
        <v>411</v>
      </c>
      <c r="I71" s="33">
        <f>SUM(I68:I70)</f>
        <v>371</v>
      </c>
      <c r="J71" s="33">
        <f>SUM(J68:J70)</f>
        <v>414</v>
      </c>
      <c r="K71" s="33">
        <f>SUM(K68:K70)</f>
        <v>349</v>
      </c>
      <c r="L71" s="33">
        <f>SUM(L68:L70)</f>
        <v>323</v>
      </c>
      <c r="M71" s="33">
        <f>SUM(M68:M70)</f>
        <v>319</v>
      </c>
      <c r="N71" s="33">
        <f>SUM(N68:N70)</f>
        <v>300</v>
      </c>
    </row>
    <row r="72">
      <c r="A72" s="34" t="inlineStr">
        <is>
          <t>Willoughby: government</t>
        </is>
      </c>
      <c r="C72" s="43" t="inlineStr">
        <is>
          <t>Willoughby</t>
        </is>
      </c>
      <c r="D72" s="43" t="inlineStr">
        <is>
          <t>Government</t>
        </is>
      </c>
      <c r="E72" s="33">
        <f>SUMIFS(E$5:E$65,$C$5:$C$65,$C72,$D$5:$D$65,$D72)</f>
        <v>761</v>
      </c>
      <c r="F72" s="33">
        <f>SUMIFS(F$5:F$65,$C$5:$C$65,$C72,$D$5:$D$65,$D72)</f>
        <v>770</v>
      </c>
      <c r="G72" s="33">
        <f>SUMIFS(G$5:G$65,$C$5:$C$65,$C72,$D$5:$D$65,$D72)</f>
        <v>793</v>
      </c>
      <c r="H72" s="33">
        <f>SUMIFS(H$5:H$65,$C$5:$C$65,$C72,$D$5:$D$65,$D72)</f>
        <v>764</v>
      </c>
      <c r="I72" s="33">
        <f>SUMIFS(I$5:I$65,$C$5:$C$65,$C72,$D$5:$D$65,$D72)</f>
        <v>771</v>
      </c>
      <c r="J72" s="33">
        <f>SUMIFS(J$5:J$65,$C$5:$C$65,$C72,$D$5:$D$65,$D72)</f>
        <v>644</v>
      </c>
      <c r="K72" s="33">
        <f>SUMIFS(K$5:K$65,$C$5:$C$65,$C72,$D$5:$D$65,$D72)</f>
        <v>642</v>
      </c>
      <c r="L72" s="33">
        <f>SUMIFS(L$5:L$65,$C$5:$C$65,$C72,$D$5:$D$65,$D72)</f>
        <v>567</v>
      </c>
      <c r="M72" s="33">
        <f>SUMIFS(M$5:M$65,$C$5:$C$65,$C72,$D$5:$D$65,$D72)</f>
        <v>535</v>
      </c>
      <c r="N72" s="33">
        <f>SUMIFS(N$5:N$65,$C$5:$C$65,$C72,$D$5:$D$65,$D72)</f>
        <v>560</v>
      </c>
    </row>
    <row r="73">
      <c r="A73" s="34" t="inlineStr">
        <is>
          <t>Willoughby: Catholic</t>
        </is>
      </c>
      <c r="C73" s="43" t="inlineStr">
        <is>
          <t>Willoughby</t>
        </is>
      </c>
      <c r="D73" s="43" t="inlineStr">
        <is>
          <t>Catholic</t>
        </is>
      </c>
      <c r="E73" s="33">
        <f>SUMIFS(E$5:E$65,$C$5:$C$65,$C73,$D$5:$D$65,$D73)</f>
        <v>149</v>
      </c>
      <c r="F73" s="33">
        <f>SUMIFS(F$5:F$65,$C$5:$C$65,$C73,$D$5:$D$65,$D73)</f>
        <v>126</v>
      </c>
      <c r="G73" s="33">
        <f>SUMIFS(G$5:G$65,$C$5:$C$65,$C73,$D$5:$D$65,$D73)</f>
        <v>142</v>
      </c>
      <c r="H73" s="33">
        <f>SUMIFS(H$5:H$65,$C$5:$C$65,$C73,$D$5:$D$65,$D73)</f>
        <v>140</v>
      </c>
      <c r="I73" s="33">
        <f>SUMIFS(I$5:I$65,$C$5:$C$65,$C73,$D$5:$D$65,$D73)</f>
        <v>147</v>
      </c>
      <c r="J73" s="33">
        <f>SUMIFS(J$5:J$65,$C$5:$C$65,$C73,$D$5:$D$65,$D73)</f>
        <v>153</v>
      </c>
      <c r="K73" s="33">
        <f>SUMIFS(K$5:K$65,$C$5:$C$65,$C73,$D$5:$D$65,$D73)</f>
        <v>155</v>
      </c>
      <c r="L73" s="33">
        <f>SUMIFS(L$5:L$65,$C$5:$C$65,$C73,$D$5:$D$65,$D73)</f>
        <v>137</v>
      </c>
      <c r="M73" s="33">
        <f>SUMIFS(M$5:M$65,$C$5:$C$65,$C73,$D$5:$D$65,$D73)</f>
        <v>132</v>
      </c>
      <c r="N73" s="33">
        <f>SUMIFS(N$5:N$65,$C$5:$C$65,$C73,$D$5:$D$65,$D73)</f>
        <v>103</v>
      </c>
    </row>
    <row r="74">
      <c r="A74" s="34" t="inlineStr">
        <is>
          <t>Willoughby: independent</t>
        </is>
      </c>
      <c r="C74" s="43" t="inlineStr">
        <is>
          <t>Willoughby</t>
        </is>
      </c>
      <c r="D74" s="43" t="inlineStr">
        <is>
          <t>Independent</t>
        </is>
      </c>
      <c r="E74" s="33">
        <f>SUMIFS(E$5:E$65,$C$5:$C$65,$C74,$D$5:$D$65,$D74)</f>
        <v>46</v>
      </c>
      <c r="F74" s="33">
        <f>SUMIFS(F$5:F$65,$C$5:$C$65,$C74,$D$5:$D$65,$D74)</f>
        <v>40</v>
      </c>
      <c r="G74" s="33">
        <f>SUMIFS(G$5:G$65,$C$5:$C$65,$C74,$D$5:$D$65,$D74)</f>
        <v>41</v>
      </c>
      <c r="H74" s="33">
        <f>SUMIFS(H$5:H$65,$C$5:$C$65,$C74,$D$5:$D$65,$D74)</f>
        <v>42</v>
      </c>
      <c r="I74" s="33">
        <f>SUMIFS(I$5:I$65,$C$5:$C$65,$C74,$D$5:$D$65,$D74)</f>
        <v>49</v>
      </c>
      <c r="J74" s="33">
        <f>SUMIFS(J$5:J$65,$C$5:$C$65,$C74,$D$5:$D$65,$D74)</f>
        <v>36</v>
      </c>
      <c r="K74" s="33">
        <f>SUMIFS(K$5:K$65,$C$5:$C$65,$C74,$D$5:$D$65,$D74)</f>
        <v>55</v>
      </c>
      <c r="L74" s="33">
        <f>SUMIFS(L$5:L$65,$C$5:$C$65,$C74,$D$5:$D$65,$D74)</f>
        <v>40</v>
      </c>
      <c r="M74" s="33">
        <f>SUMIFS(M$5:M$65,$C$5:$C$65,$C74,$D$5:$D$65,$D74)</f>
        <v>47</v>
      </c>
      <c r="N74" s="33">
        <f>SUMIFS(N$5:N$65,$C$5:$C$65,$C74,$D$5:$D$65,$D74)</f>
        <v>56</v>
      </c>
    </row>
    <row r="75">
      <c r="A75" s="34" t="inlineStr">
        <is>
          <t>Willoughby: all sectors</t>
        </is>
      </c>
      <c r="C75" s="43" t="inlineStr">
        <is>
          <t>Willoughby</t>
        </is>
      </c>
      <c r="D75" s="43" t="inlineStr">
        <is>
          <t>All sectors</t>
        </is>
      </c>
      <c r="E75" s="33">
        <f>SUM(E72:E74)</f>
        <v>956</v>
      </c>
      <c r="F75" s="33">
        <f>SUM(F72:F74)</f>
        <v>936</v>
      </c>
      <c r="G75" s="33">
        <f>SUM(G72:G74)</f>
        <v>976</v>
      </c>
      <c r="H75" s="33">
        <f>SUM(H72:H74)</f>
        <v>946</v>
      </c>
      <c r="I75" s="33">
        <f>SUM(I72:I74)</f>
        <v>967</v>
      </c>
      <c r="J75" s="33">
        <f>SUM(J72:J74)</f>
        <v>833</v>
      </c>
      <c r="K75" s="33">
        <f>SUM(K72:K74)</f>
        <v>852</v>
      </c>
      <c r="L75" s="33">
        <f>SUM(L72:L74)</f>
        <v>744</v>
      </c>
      <c r="M75" s="33">
        <f>SUM(M72:M74)</f>
        <v>714</v>
      </c>
      <c r="N75" s="33">
        <f>SUM(N72:N74)</f>
        <v>719</v>
      </c>
    </row>
    <row r="76">
      <c r="A76" s="34" t="inlineStr">
        <is>
          <t>Hunters Hill: government</t>
        </is>
      </c>
      <c r="C76" s="43" t="inlineStr">
        <is>
          <t>Hunters Hill</t>
        </is>
      </c>
      <c r="D76" s="43" t="inlineStr">
        <is>
          <t>Government</t>
        </is>
      </c>
      <c r="E76" s="33">
        <f>SUMIFS(E$5:E$65,$C$5:$C$65,$C76,$D$5:$D$65,$D76)</f>
        <v>154</v>
      </c>
      <c r="F76" s="33">
        <f>SUMIFS(F$5:F$65,$C$5:$C$65,$C76,$D$5:$D$65,$D76)</f>
        <v>140</v>
      </c>
      <c r="G76" s="33">
        <f>SUMIFS(G$5:G$65,$C$5:$C$65,$C76,$D$5:$D$65,$D76)</f>
        <v>141</v>
      </c>
      <c r="H76" s="33">
        <f>SUMIFS(H$5:H$65,$C$5:$C$65,$C76,$D$5:$D$65,$D76)</f>
        <v>142</v>
      </c>
      <c r="I76" s="33">
        <f>SUMIFS(I$5:I$65,$C$5:$C$65,$C76,$D$5:$D$65,$D76)</f>
        <v>117</v>
      </c>
      <c r="J76" s="33">
        <f>SUMIFS(J$5:J$65,$C$5:$C$65,$C76,$D$5:$D$65,$D76)</f>
        <v>118</v>
      </c>
      <c r="K76" s="33">
        <f>SUMIFS(K$5:K$65,$C$5:$C$65,$C76,$D$5:$D$65,$D76)</f>
        <v>102</v>
      </c>
      <c r="L76" s="33">
        <f>SUMIFS(L$5:L$65,$C$5:$C$65,$C76,$D$5:$D$65,$D76)</f>
        <v>108</v>
      </c>
      <c r="M76" s="33">
        <f>SUMIFS(M$5:M$65,$C$5:$C$65,$C76,$D$5:$D$65,$D76)</f>
        <v>116</v>
      </c>
      <c r="N76" s="33">
        <f>SUMIFS(N$5:N$65,$C$5:$C$65,$C76,$D$5:$D$65,$D76)</f>
        <v>66</v>
      </c>
    </row>
    <row r="77">
      <c r="A77" s="34" t="inlineStr">
        <is>
          <t>Hunters Hill: Catholic</t>
        </is>
      </c>
      <c r="C77" s="43" t="inlineStr">
        <is>
          <t>Hunters Hill</t>
        </is>
      </c>
      <c r="D77" s="43" t="inlineStr">
        <is>
          <t>Catholic</t>
        </is>
      </c>
      <c r="E77" s="33">
        <f>SUMIFS(E$5:E$65,$C$5:$C$65,$C77,$D$5:$D$65,$D77)</f>
        <v>56</v>
      </c>
      <c r="F77" s="33">
        <f>SUMIFS(F$5:F$65,$C$5:$C$65,$C77,$D$5:$D$65,$D77)</f>
        <v>63</v>
      </c>
      <c r="G77" s="33">
        <f>SUMIFS(G$5:G$65,$C$5:$C$65,$C77,$D$5:$D$65,$D77)</f>
        <v>65</v>
      </c>
      <c r="H77" s="33">
        <f>SUMIFS(H$5:H$65,$C$5:$C$65,$C77,$D$5:$D$65,$D77)</f>
        <v>53</v>
      </c>
      <c r="I77" s="33">
        <f>SUMIFS(I$5:I$65,$C$5:$C$65,$C77,$D$5:$D$65,$D77)</f>
        <v>59</v>
      </c>
      <c r="J77" s="33">
        <f>SUMIFS(J$5:J$65,$C$5:$C$65,$C77,$D$5:$D$65,$D77)</f>
        <v>45</v>
      </c>
      <c r="K77" s="33">
        <f>SUMIFS(K$5:K$65,$C$5:$C$65,$C77,$D$5:$D$65,$D77)</f>
        <v>63</v>
      </c>
      <c r="L77" s="33">
        <f>SUMIFS(L$5:L$65,$C$5:$C$65,$C77,$D$5:$D$65,$D77)</f>
        <v>52</v>
      </c>
      <c r="M77" s="33">
        <f>SUMIFS(M$5:M$65,$C$5:$C$65,$C77,$D$5:$D$65,$D77)</f>
        <v>60</v>
      </c>
      <c r="N77" s="33">
        <f>SUMIFS(N$5:N$65,$C$5:$C$65,$C77,$D$5:$D$65,$D77)</f>
        <v>60</v>
      </c>
    </row>
    <row r="78">
      <c r="A78" s="34" t="inlineStr">
        <is>
          <t>Hunters Hill: independent</t>
        </is>
      </c>
      <c r="C78" s="43" t="inlineStr">
        <is>
          <t>Hunters Hill</t>
        </is>
      </c>
      <c r="D78" s="43" t="inlineStr">
        <is>
          <t>Independent</t>
        </is>
      </c>
      <c r="E78" s="33">
        <f>SUMIFS(E$5:E$65,$C$5:$C$65,$C78,$D$5:$D$65,$D78)</f>
        <v>0</v>
      </c>
      <c r="F78" s="33">
        <f>SUMIFS(F$5:F$65,$C$5:$C$65,$C78,$D$5:$D$65,$D78)</f>
        <v>0</v>
      </c>
      <c r="G78" s="33">
        <f>SUMIFS(G$5:G$65,$C$5:$C$65,$C78,$D$5:$D$65,$D78)</f>
        <v>0</v>
      </c>
      <c r="H78" s="33">
        <f>SUMIFS(H$5:H$65,$C$5:$C$65,$C78,$D$5:$D$65,$D78)</f>
        <v>0</v>
      </c>
      <c r="I78" s="33">
        <f>SUMIFS(I$5:I$65,$C$5:$C$65,$C78,$D$5:$D$65,$D78)</f>
        <v>0</v>
      </c>
      <c r="J78" s="33">
        <f>SUMIFS(J$5:J$65,$C$5:$C$65,$C78,$D$5:$D$65,$D78)</f>
        <v>0</v>
      </c>
      <c r="K78" s="33">
        <f>SUMIFS(K$5:K$65,$C$5:$C$65,$C78,$D$5:$D$65,$D78)</f>
        <v>0</v>
      </c>
      <c r="L78" s="33">
        <f>SUMIFS(L$5:L$65,$C$5:$C$65,$C78,$D$5:$D$65,$D78)</f>
        <v>0</v>
      </c>
      <c r="M78" s="33">
        <f>SUMIFS(M$5:M$65,$C$5:$C$65,$C78,$D$5:$D$65,$D78)</f>
        <v>0</v>
      </c>
      <c r="N78" s="33">
        <f>SUMIFS(N$5:N$65,$C$5:$C$65,$C78,$D$5:$D$65,$D78)</f>
        <v>0</v>
      </c>
    </row>
    <row r="79">
      <c r="A79" s="34" t="inlineStr">
        <is>
          <t>Hunters Hill: all sectors</t>
        </is>
      </c>
      <c r="C79" s="43" t="inlineStr">
        <is>
          <t>Hunters Hill</t>
        </is>
      </c>
      <c r="D79" s="43" t="inlineStr">
        <is>
          <t>All sectors</t>
        </is>
      </c>
      <c r="E79" s="33">
        <f>SUM(E76:E78)</f>
        <v>210</v>
      </c>
      <c r="F79" s="33">
        <f>SUM(F76:F78)</f>
        <v>203</v>
      </c>
      <c r="G79" s="33">
        <f>SUM(G76:G78)</f>
        <v>206</v>
      </c>
      <c r="H79" s="33">
        <f>SUM(H76:H78)</f>
        <v>195</v>
      </c>
      <c r="I79" s="33">
        <f>SUM(I76:I78)</f>
        <v>176</v>
      </c>
      <c r="J79" s="33">
        <f>SUM(J76:J78)</f>
        <v>163</v>
      </c>
      <c r="K79" s="33">
        <f>SUM(K76:K78)</f>
        <v>165</v>
      </c>
      <c r="L79" s="33">
        <f>SUM(L76:L78)</f>
        <v>160</v>
      </c>
      <c r="M79" s="33">
        <f>SUM(M76:M78)</f>
        <v>176</v>
      </c>
      <c r="N79" s="33">
        <f>SUM(N76:N78)</f>
        <v>126</v>
      </c>
    </row>
    <row r="80">
      <c r="A80" s="34" t="inlineStr">
        <is>
          <t>North Sydney: government</t>
        </is>
      </c>
      <c r="C80" s="43" t="inlineStr">
        <is>
          <t>North Sydney</t>
        </is>
      </c>
      <c r="D80" s="43" t="inlineStr">
        <is>
          <t>Government</t>
        </is>
      </c>
      <c r="E80" s="33">
        <f>SUMIFS(E$5:E$65,$C$5:$C$65,$C80,$D$5:$D$65,$D80)</f>
        <v>497</v>
      </c>
      <c r="F80" s="33">
        <f>SUMIFS(F$5:F$65,$C$5:$C$65,$C80,$D$5:$D$65,$D80)</f>
        <v>557</v>
      </c>
      <c r="G80" s="33">
        <f>SUMIFS(G$5:G$65,$C$5:$C$65,$C80,$D$5:$D$65,$D80)</f>
        <v>560</v>
      </c>
      <c r="H80" s="33">
        <f>SUMIFS(H$5:H$65,$C$5:$C$65,$C80,$D$5:$D$65,$D80)</f>
        <v>520</v>
      </c>
      <c r="I80" s="33">
        <f>SUMIFS(I$5:I$65,$C$5:$C$65,$C80,$D$5:$D$65,$D80)</f>
        <v>496</v>
      </c>
      <c r="J80" s="33">
        <f>SUMIFS(J$5:J$65,$C$5:$C$65,$C80,$D$5:$D$65,$D80)</f>
        <v>491</v>
      </c>
      <c r="K80" s="33">
        <f>SUMIFS(K$5:K$65,$C$5:$C$65,$C80,$D$5:$D$65,$D80)</f>
        <v>425</v>
      </c>
      <c r="L80" s="33">
        <f>SUMIFS(L$5:L$65,$C$5:$C$65,$C80,$D$5:$D$65,$D80)</f>
        <v>409</v>
      </c>
      <c r="M80" s="33">
        <f>SUMIFS(M$5:M$65,$C$5:$C$65,$C80,$D$5:$D$65,$D80)</f>
        <v>381</v>
      </c>
      <c r="N80" s="33">
        <f>SUMIFS(N$5:N$65,$C$5:$C$65,$C80,$D$5:$D$65,$D80)</f>
        <v>379</v>
      </c>
    </row>
    <row r="81">
      <c r="A81" s="34" t="inlineStr">
        <is>
          <t>North Sydney: Catholic</t>
        </is>
      </c>
      <c r="C81" s="43" t="inlineStr">
        <is>
          <t>North Sydney</t>
        </is>
      </c>
      <c r="D81" s="43" t="inlineStr">
        <is>
          <t>Catholic</t>
        </is>
      </c>
      <c r="E81" s="33">
        <f>SUMIFS(E$5:E$65,$C$5:$C$65,$C81,$D$5:$D$65,$D81)</f>
        <v>67</v>
      </c>
      <c r="F81" s="33">
        <f>SUMIFS(F$5:F$65,$C$5:$C$65,$C81,$D$5:$D$65,$D81)</f>
        <v>68</v>
      </c>
      <c r="G81" s="33">
        <f>SUMIFS(G$5:G$65,$C$5:$C$65,$C81,$D$5:$D$65,$D81)</f>
        <v>68</v>
      </c>
      <c r="H81" s="33">
        <f>SUMIFS(H$5:H$65,$C$5:$C$65,$C81,$D$5:$D$65,$D81)</f>
        <v>64</v>
      </c>
      <c r="I81" s="33">
        <f>SUMIFS(I$5:I$65,$C$5:$C$65,$C81,$D$5:$D$65,$D81)</f>
        <v>67</v>
      </c>
      <c r="J81" s="33">
        <f>SUMIFS(J$5:J$65,$C$5:$C$65,$C81,$D$5:$D$65,$D81)</f>
        <v>74</v>
      </c>
      <c r="K81" s="33">
        <f>SUMIFS(K$5:K$65,$C$5:$C$65,$C81,$D$5:$D$65,$D81)</f>
        <v>76</v>
      </c>
      <c r="L81" s="33">
        <f>SUMIFS(L$5:L$65,$C$5:$C$65,$C81,$D$5:$D$65,$D81)</f>
        <v>67</v>
      </c>
      <c r="M81" s="33">
        <f>SUMIFS(M$5:M$65,$C$5:$C$65,$C81,$D$5:$D$65,$D81)</f>
        <v>68</v>
      </c>
      <c r="N81" s="33">
        <f>SUMIFS(N$5:N$65,$C$5:$C$65,$C81,$D$5:$D$65,$D81)</f>
        <v>67</v>
      </c>
    </row>
    <row r="82">
      <c r="A82" s="34" t="inlineStr">
        <is>
          <t>North Sydney: independent</t>
        </is>
      </c>
      <c r="C82" s="43" t="inlineStr">
        <is>
          <t>North Sydney</t>
        </is>
      </c>
      <c r="D82" s="43" t="inlineStr">
        <is>
          <t>Independent</t>
        </is>
      </c>
      <c r="E82" s="33">
        <f>SUMIFS(E$5:E$65,$C$5:$C$65,$C82,$D$5:$D$65,$D82)</f>
        <v>178</v>
      </c>
      <c r="F82" s="33">
        <f>SUMIFS(F$5:F$65,$C$5:$C$65,$C82,$D$5:$D$65,$D82)</f>
        <v>183</v>
      </c>
      <c r="G82" s="33">
        <f>SUMIFS(G$5:G$65,$C$5:$C$65,$C82,$D$5:$D$65,$D82)</f>
        <v>184</v>
      </c>
      <c r="H82" s="33">
        <f>SUMIFS(H$5:H$65,$C$5:$C$65,$C82,$D$5:$D$65,$D82)</f>
        <v>189</v>
      </c>
      <c r="I82" s="33">
        <f>SUMIFS(I$5:I$65,$C$5:$C$65,$C82,$D$5:$D$65,$D82)</f>
        <v>178</v>
      </c>
      <c r="J82" s="33">
        <f>SUMIFS(J$5:J$65,$C$5:$C$65,$C82,$D$5:$D$65,$D82)</f>
        <v>165</v>
      </c>
      <c r="K82" s="33">
        <f>SUMIFS(K$5:K$65,$C$5:$C$65,$C82,$D$5:$D$65,$D82)</f>
        <v>176</v>
      </c>
      <c r="L82" s="33">
        <f>SUMIFS(L$5:L$65,$C$5:$C$65,$C82,$D$5:$D$65,$D82)</f>
        <v>183</v>
      </c>
      <c r="M82" s="33">
        <f>SUMIFS(M$5:M$65,$C$5:$C$65,$C82,$D$5:$D$65,$D82)</f>
        <v>176</v>
      </c>
      <c r="N82" s="33">
        <f>SUMIFS(N$5:N$65,$C$5:$C$65,$C82,$D$5:$D$65,$D82)</f>
        <v>176</v>
      </c>
    </row>
    <row r="83">
      <c r="A83" s="34" t="inlineStr">
        <is>
          <t>North Sydney: all sectors</t>
        </is>
      </c>
      <c r="C83" s="43" t="inlineStr">
        <is>
          <t>North Sydney</t>
        </is>
      </c>
      <c r="D83" s="43" t="inlineStr">
        <is>
          <t>All sectors</t>
        </is>
      </c>
      <c r="E83" s="33">
        <f>SUM(E80:E82)</f>
        <v>742</v>
      </c>
      <c r="F83" s="33">
        <f>SUM(F80:F82)</f>
        <v>808</v>
      </c>
      <c r="G83" s="33">
        <f>SUM(G80:G82)</f>
        <v>812</v>
      </c>
      <c r="H83" s="33">
        <f>SUM(H80:H82)</f>
        <v>773</v>
      </c>
      <c r="I83" s="33">
        <f>SUM(I80:I82)</f>
        <v>741</v>
      </c>
      <c r="J83" s="33">
        <f>SUM(J80:J82)</f>
        <v>730</v>
      </c>
      <c r="K83" s="33">
        <f>SUM(K80:K82)</f>
        <v>677</v>
      </c>
      <c r="L83" s="33">
        <f>SUM(L80:L82)</f>
        <v>659</v>
      </c>
      <c r="M83" s="33">
        <f>SUM(M80:M82)</f>
        <v>625</v>
      </c>
      <c r="N83" s="33">
        <f>SUM(N80:N82)</f>
        <v>622</v>
      </c>
    </row>
    <row r="84">
      <c r="A84" s="34" t="inlineStr">
        <is>
          <t>Mosman: government</t>
        </is>
      </c>
      <c r="C84" s="43" t="inlineStr">
        <is>
          <t>Mosman</t>
        </is>
      </c>
      <c r="D84" s="43" t="inlineStr">
        <is>
          <t>Government</t>
        </is>
      </c>
      <c r="E84" s="33">
        <f>SUMIFS(E$5:E$65,$C$5:$C$65,$C84,$D$5:$D$65,$D84)</f>
        <v>270</v>
      </c>
      <c r="F84" s="33">
        <f>SUMIFS(F$5:F$65,$C$5:$C$65,$C84,$D$5:$D$65,$D84)</f>
        <v>270</v>
      </c>
      <c r="G84" s="33">
        <f>SUMIFS(G$5:G$65,$C$5:$C$65,$C84,$D$5:$D$65,$D84)</f>
        <v>245</v>
      </c>
      <c r="H84" s="33">
        <f>SUMIFS(H$5:H$65,$C$5:$C$65,$C84,$D$5:$D$65,$D84)</f>
        <v>240</v>
      </c>
      <c r="I84" s="33">
        <f>SUMIFS(I$5:I$65,$C$5:$C$65,$C84,$D$5:$D$65,$D84)</f>
        <v>221</v>
      </c>
      <c r="J84" s="33">
        <f>SUMIFS(J$5:J$65,$C$5:$C$65,$C84,$D$5:$D$65,$D84)</f>
        <v>232</v>
      </c>
      <c r="K84" s="33">
        <f>SUMIFS(K$5:K$65,$C$5:$C$65,$C84,$D$5:$D$65,$D84)</f>
        <v>207</v>
      </c>
      <c r="L84" s="33">
        <f>SUMIFS(L$5:L$65,$C$5:$C$65,$C84,$D$5:$D$65,$D84)</f>
        <v>185</v>
      </c>
      <c r="M84" s="33">
        <f>SUMIFS(M$5:M$65,$C$5:$C$65,$C84,$D$5:$D$65,$D84)</f>
        <v>171</v>
      </c>
      <c r="N84" s="33">
        <f>SUMIFS(N$5:N$65,$C$5:$C$65,$C84,$D$5:$D$65,$D84)</f>
        <v>144</v>
      </c>
    </row>
    <row r="85">
      <c r="A85" s="34" t="inlineStr">
        <is>
          <t>Mosman: Catholic</t>
        </is>
      </c>
      <c r="C85" s="43" t="inlineStr">
        <is>
          <t>Mosman</t>
        </is>
      </c>
      <c r="D85" s="43" t="inlineStr">
        <is>
          <t>Catholic</t>
        </is>
      </c>
      <c r="E85" s="33">
        <f>SUMIFS(E$5:E$65,$C$5:$C$65,$C85,$D$5:$D$65,$D85)</f>
        <v>82</v>
      </c>
      <c r="F85" s="33">
        <f>SUMIFS(F$5:F$65,$C$5:$C$65,$C85,$D$5:$D$65,$D85)</f>
        <v>69</v>
      </c>
      <c r="G85" s="33">
        <f>SUMIFS(G$5:G$65,$C$5:$C$65,$C85,$D$5:$D$65,$D85)</f>
        <v>64</v>
      </c>
      <c r="H85" s="33">
        <f>SUMIFS(H$5:H$65,$C$5:$C$65,$C85,$D$5:$D$65,$D85)</f>
        <v>87</v>
      </c>
      <c r="I85" s="33">
        <f>SUMIFS(I$5:I$65,$C$5:$C$65,$C85,$D$5:$D$65,$D85)</f>
        <v>75</v>
      </c>
      <c r="J85" s="33">
        <f>SUMIFS(J$5:J$65,$C$5:$C$65,$C85,$D$5:$D$65,$D85)</f>
        <v>71</v>
      </c>
      <c r="K85" s="33">
        <f>SUMIFS(K$5:K$65,$C$5:$C$65,$C85,$D$5:$D$65,$D85)</f>
        <v>70</v>
      </c>
      <c r="L85" s="33">
        <f>SUMIFS(L$5:L$65,$C$5:$C$65,$C85,$D$5:$D$65,$D85)</f>
        <v>65</v>
      </c>
      <c r="M85" s="33">
        <f>SUMIFS(M$5:M$65,$C$5:$C$65,$C85,$D$5:$D$65,$D85)</f>
        <v>79</v>
      </c>
      <c r="N85" s="33">
        <f>SUMIFS(N$5:N$65,$C$5:$C$65,$C85,$D$5:$D$65,$D85)</f>
        <v>77</v>
      </c>
    </row>
    <row r="86">
      <c r="A86" s="34" t="inlineStr">
        <is>
          <t>Mosman: independent</t>
        </is>
      </c>
      <c r="C86" s="43" t="inlineStr">
        <is>
          <t>Mosman</t>
        </is>
      </c>
      <c r="D86" s="43" t="inlineStr">
        <is>
          <t>Independent</t>
        </is>
      </c>
      <c r="E86" s="33">
        <f>SUMIFS(E$5:E$65,$C$5:$C$65,$C86,$D$5:$D$65,$D86)</f>
        <v>64</v>
      </c>
      <c r="F86" s="33">
        <f>SUMIFS(F$5:F$65,$C$5:$C$65,$C86,$D$5:$D$65,$D86)</f>
        <v>75</v>
      </c>
      <c r="G86" s="33">
        <f>SUMIFS(G$5:G$65,$C$5:$C$65,$C86,$D$5:$D$65,$D86)</f>
        <v>67</v>
      </c>
      <c r="H86" s="33">
        <f>SUMIFS(H$5:H$65,$C$5:$C$65,$C86,$D$5:$D$65,$D86)</f>
        <v>74</v>
      </c>
      <c r="I86" s="33">
        <f>SUMIFS(I$5:I$65,$C$5:$C$65,$C86,$D$5:$D$65,$D86)</f>
        <v>47</v>
      </c>
      <c r="J86" s="33">
        <f>SUMIFS(J$5:J$65,$C$5:$C$65,$C86,$D$5:$D$65,$D86)</f>
        <v>55</v>
      </c>
      <c r="K86" s="33">
        <f>SUMIFS(K$5:K$65,$C$5:$C$65,$C86,$D$5:$D$65,$D86)</f>
        <v>43</v>
      </c>
      <c r="L86" s="33">
        <f>SUMIFS(L$5:L$65,$C$5:$C$65,$C86,$D$5:$D$65,$D86)</f>
        <v>40</v>
      </c>
      <c r="M86" s="33">
        <f>SUMIFS(M$5:M$65,$C$5:$C$65,$C86,$D$5:$D$65,$D86)</f>
        <v>43</v>
      </c>
      <c r="N86" s="33">
        <f>SUMIFS(N$5:N$65,$C$5:$C$65,$C86,$D$5:$D$65,$D86)</f>
        <v>47</v>
      </c>
    </row>
    <row r="87">
      <c r="A87" s="34" t="inlineStr">
        <is>
          <t>Mosman: all sectors</t>
        </is>
      </c>
      <c r="C87" s="43" t="inlineStr">
        <is>
          <t>Mosman</t>
        </is>
      </c>
      <c r="D87" s="43" t="inlineStr">
        <is>
          <t>All sectors</t>
        </is>
      </c>
      <c r="E87" s="33">
        <f>SUM(E84:E86)</f>
        <v>416</v>
      </c>
      <c r="F87" s="33">
        <f>SUM(F84:F86)</f>
        <v>414</v>
      </c>
      <c r="G87" s="33">
        <f>SUM(G84:G86)</f>
        <v>376</v>
      </c>
      <c r="H87" s="33">
        <f>SUM(H84:H86)</f>
        <v>401</v>
      </c>
      <c r="I87" s="33">
        <f>SUM(I84:I86)</f>
        <v>343</v>
      </c>
      <c r="J87" s="33">
        <f>SUM(J84:J86)</f>
        <v>358</v>
      </c>
      <c r="K87" s="33">
        <f>SUM(K84:K86)</f>
        <v>320</v>
      </c>
      <c r="L87" s="33">
        <f>SUM(L84:L86)</f>
        <v>290</v>
      </c>
      <c r="M87" s="33">
        <f>SUM(M84:M86)</f>
        <v>293</v>
      </c>
      <c r="N87" s="33">
        <f>SUM(N84:N86)</f>
        <v>268</v>
      </c>
    </row>
    <row r="88">
      <c r="A88" s="34" t="inlineStr">
        <is>
          <t>Ryde: government</t>
        </is>
      </c>
      <c r="C88" s="43" t="inlineStr">
        <is>
          <t>Ryde</t>
        </is>
      </c>
      <c r="D88" s="43" t="inlineStr">
        <is>
          <t>Government</t>
        </is>
      </c>
      <c r="E88" s="33">
        <f>SUMIFS(E$5:E$65,$C$5:$C$65,$C88,$D$5:$D$65,$D88)</f>
        <v>1045</v>
      </c>
      <c r="F88" s="33">
        <f>SUMIFS(F$5:F$65,$C$5:$C$65,$C88,$D$5:$D$65,$D88)</f>
        <v>1099</v>
      </c>
      <c r="G88" s="33">
        <f>SUMIFS(G$5:G$65,$C$5:$C$65,$C88,$D$5:$D$65,$D88)</f>
        <v>1225</v>
      </c>
      <c r="H88" s="33">
        <f>SUMIFS(H$5:H$65,$C$5:$C$65,$C88,$D$5:$D$65,$D88)</f>
        <v>1147</v>
      </c>
      <c r="I88" s="33">
        <f>SUMIFS(I$5:I$65,$C$5:$C$65,$C88,$D$5:$D$65,$D88)</f>
        <v>1184</v>
      </c>
      <c r="J88" s="33">
        <f>SUMIFS(J$5:J$65,$C$5:$C$65,$C88,$D$5:$D$65,$D88)</f>
        <v>1111</v>
      </c>
      <c r="K88" s="33">
        <f>SUMIFS(K$5:K$65,$C$5:$C$65,$C88,$D$5:$D$65,$D88)</f>
        <v>1150</v>
      </c>
      <c r="L88" s="33">
        <f>SUMIFS(L$5:L$65,$C$5:$C$65,$C88,$D$5:$D$65,$D88)</f>
        <v>1041</v>
      </c>
      <c r="M88" s="33">
        <f>SUMIFS(M$5:M$65,$C$5:$C$65,$C88,$D$5:$D$65,$D88)</f>
        <v>991</v>
      </c>
      <c r="N88" s="33">
        <f>SUMIFS(N$5:N$65,$C$5:$C$65,$C88,$D$5:$D$65,$D88)</f>
        <v>948</v>
      </c>
    </row>
    <row r="89">
      <c r="A89" s="34" t="inlineStr">
        <is>
          <t>Ryde: Catholic</t>
        </is>
      </c>
      <c r="C89" s="43" t="inlineStr">
        <is>
          <t>Ryde</t>
        </is>
      </c>
      <c r="D89" s="43" t="inlineStr">
        <is>
          <t>Catholic</t>
        </is>
      </c>
      <c r="E89" s="33">
        <f>SUMIFS(E$5:E$65,$C$5:$C$65,$C89,$D$5:$D$65,$D89)</f>
        <v>347</v>
      </c>
      <c r="F89" s="33">
        <f>SUMIFS(F$5:F$65,$C$5:$C$65,$C89,$D$5:$D$65,$D89)</f>
        <v>327</v>
      </c>
      <c r="G89" s="33">
        <f>SUMIFS(G$5:G$65,$C$5:$C$65,$C89,$D$5:$D$65,$D89)</f>
        <v>332</v>
      </c>
      <c r="H89" s="33">
        <f>SUMIFS(H$5:H$65,$C$5:$C$65,$C89,$D$5:$D$65,$D89)</f>
        <v>351</v>
      </c>
      <c r="I89" s="33">
        <f>SUMIFS(I$5:I$65,$C$5:$C$65,$C89,$D$5:$D$65,$D89)</f>
        <v>312</v>
      </c>
      <c r="J89" s="33">
        <f>SUMIFS(J$5:J$65,$C$5:$C$65,$C89,$D$5:$D$65,$D89)</f>
        <v>345</v>
      </c>
      <c r="K89" s="33">
        <f>SUMIFS(K$5:K$65,$C$5:$C$65,$C89,$D$5:$D$65,$D89)</f>
        <v>335</v>
      </c>
      <c r="L89" s="33">
        <f>SUMIFS(L$5:L$65,$C$5:$C$65,$C89,$D$5:$D$65,$D89)</f>
        <v>340</v>
      </c>
      <c r="M89" s="33">
        <f>SUMIFS(M$5:M$65,$C$5:$C$65,$C89,$D$5:$D$65,$D89)</f>
        <v>368</v>
      </c>
      <c r="N89" s="33">
        <f>SUMIFS(N$5:N$65,$C$5:$C$65,$C89,$D$5:$D$65,$D89)</f>
        <v>375</v>
      </c>
    </row>
    <row r="90">
      <c r="A90" s="34" t="inlineStr">
        <is>
          <t>Ryde: independent</t>
        </is>
      </c>
      <c r="C90" s="43" t="inlineStr">
        <is>
          <t>Ryde</t>
        </is>
      </c>
      <c r="D90" s="43" t="inlineStr">
        <is>
          <t>Independent</t>
        </is>
      </c>
      <c r="E90" s="33">
        <f>SUMIFS(E$5:E$65,$C$5:$C$65,$C90,$D$5:$D$65,$D90)</f>
        <v>67</v>
      </c>
      <c r="F90" s="33">
        <f>SUMIFS(F$5:F$65,$C$5:$C$65,$C90,$D$5:$D$65,$D90)</f>
        <v>71</v>
      </c>
      <c r="G90" s="33">
        <f>SUMIFS(G$5:G$65,$C$5:$C$65,$C90,$D$5:$D$65,$D90)</f>
        <v>63</v>
      </c>
      <c r="H90" s="33">
        <f>SUMIFS(H$5:H$65,$C$5:$C$65,$C90,$D$5:$D$65,$D90)</f>
        <v>70</v>
      </c>
      <c r="I90" s="33">
        <f>SUMIFS(I$5:I$65,$C$5:$C$65,$C90,$D$5:$D$65,$D90)</f>
        <v>78</v>
      </c>
      <c r="J90" s="33">
        <f>SUMIFS(J$5:J$65,$C$5:$C$65,$C90,$D$5:$D$65,$D90)</f>
        <v>80</v>
      </c>
      <c r="K90" s="33">
        <f>SUMIFS(K$5:K$65,$C$5:$C$65,$C90,$D$5:$D$65,$D90)</f>
        <v>77</v>
      </c>
      <c r="L90" s="33">
        <f>SUMIFS(L$5:L$65,$C$5:$C$65,$C90,$D$5:$D$65,$D90)</f>
        <v>80</v>
      </c>
      <c r="M90" s="33">
        <f>SUMIFS(M$5:M$65,$C$5:$C$65,$C90,$D$5:$D$65,$D90)</f>
        <v>78</v>
      </c>
      <c r="N90" s="33">
        <f>SUMIFS(N$5:N$65,$C$5:$C$65,$C90,$D$5:$D$65,$D90)</f>
        <v>78</v>
      </c>
    </row>
    <row r="91">
      <c r="A91" s="34" t="inlineStr">
        <is>
          <t>Ryde: all sectors</t>
        </is>
      </c>
      <c r="C91" s="43" t="inlineStr">
        <is>
          <t>Ryde</t>
        </is>
      </c>
      <c r="D91" s="43" t="inlineStr">
        <is>
          <t>All sectors</t>
        </is>
      </c>
      <c r="E91" s="33">
        <f>SUM(E88:E90)</f>
        <v>1459</v>
      </c>
      <c r="F91" s="33">
        <f>SUM(F88:F90)</f>
        <v>1497</v>
      </c>
      <c r="G91" s="33">
        <f>SUM(G88:G90)</f>
        <v>1620</v>
      </c>
      <c r="H91" s="33">
        <f>SUM(H88:H90)</f>
        <v>1568</v>
      </c>
      <c r="I91" s="33">
        <f>SUM(I88:I90)</f>
        <v>1574</v>
      </c>
      <c r="J91" s="33">
        <f>SUM(J88:J90)</f>
        <v>1536</v>
      </c>
      <c r="K91" s="33">
        <f>SUM(K88:K90)</f>
        <v>1562</v>
      </c>
      <c r="L91" s="33">
        <f>SUM(L88:L90)</f>
        <v>1461</v>
      </c>
      <c r="M91" s="33">
        <f>SUM(M88:M90)</f>
        <v>1437</v>
      </c>
      <c r="N91" s="33">
        <f>SUM(N88:N90)</f>
        <v>1401</v>
      </c>
    </row>
    <row r="92">
      <c r="A92" s="34" t="inlineStr">
        <is>
          <t>Six councils: government</t>
        </is>
      </c>
      <c r="C92" s="43" t="inlineStr">
        <is>
          <t>Six councils</t>
        </is>
      </c>
      <c r="D92" s="43" t="inlineStr">
        <is>
          <t>Government</t>
        </is>
      </c>
      <c r="E92" s="33">
        <f>SUMIFS(E$5:E$65,$D$5:$D$65,$D92)</f>
        <v>3005</v>
      </c>
      <c r="F92" s="33">
        <f>SUMIFS(F$5:F$65,$D$5:$D$65,$D92)</f>
        <v>3142</v>
      </c>
      <c r="G92" s="33">
        <f>SUMIFS(G$5:G$65,$D$5:$D$65,$D92)</f>
        <v>3288</v>
      </c>
      <c r="H92" s="33">
        <f>SUMIFS(H$5:H$65,$D$5:$D$65,$D92)</f>
        <v>3136</v>
      </c>
      <c r="I92" s="33">
        <f>SUMIFS(I$5:I$65,$D$5:$D$65,$D92)</f>
        <v>3061</v>
      </c>
      <c r="J92" s="33">
        <f>SUMIFS(J$5:J$65,$D$5:$D$65,$D92)</f>
        <v>2895</v>
      </c>
      <c r="K92" s="33">
        <f>SUMIFS(K$5:K$65,$D$5:$D$65,$D92)</f>
        <v>2778</v>
      </c>
      <c r="L92" s="33">
        <f>SUMIFS(L$5:L$65,$D$5:$D$65,$D92)</f>
        <v>2541</v>
      </c>
      <c r="M92" s="33">
        <f>SUMIFS(M$5:M$65,$D$5:$D$65,$D92)</f>
        <v>2428</v>
      </c>
      <c r="N92" s="33">
        <f>SUMIFS(N$5:N$65,$D$5:$D$65,$D92)</f>
        <v>2305</v>
      </c>
    </row>
    <row r="93">
      <c r="A93" s="34" t="inlineStr">
        <is>
          <t>Six councils: Catholic</t>
        </is>
      </c>
      <c r="C93" s="43" t="inlineStr">
        <is>
          <t>Six councils</t>
        </is>
      </c>
      <c r="D93" s="43" t="inlineStr">
        <is>
          <t>Catholic</t>
        </is>
      </c>
      <c r="E93" s="33">
        <f>SUMIFS(E$5:E$65,$D$5:$D$65,$D93)</f>
        <v>783</v>
      </c>
      <c r="F93" s="33">
        <f>SUMIFS(F$5:F$65,$D$5:$D$65,$D93)</f>
        <v>747</v>
      </c>
      <c r="G93" s="33">
        <f>SUMIFS(G$5:G$65,$D$5:$D$65,$D93)</f>
        <v>747</v>
      </c>
      <c r="H93" s="33">
        <f>SUMIFS(H$5:H$65,$D$5:$D$65,$D93)</f>
        <v>767</v>
      </c>
      <c r="I93" s="33">
        <f>SUMIFS(I$5:I$65,$D$5:$D$65,$D93)</f>
        <v>748</v>
      </c>
      <c r="J93" s="33">
        <f>SUMIFS(J$5:J$65,$D$5:$D$65,$D93)</f>
        <v>788</v>
      </c>
      <c r="K93" s="33">
        <f>SUMIFS(K$5:K$65,$D$5:$D$65,$D93)</f>
        <v>776</v>
      </c>
      <c r="L93" s="33">
        <f>SUMIFS(L$5:L$65,$D$5:$D$65,$D93)</f>
        <v>738</v>
      </c>
      <c r="M93" s="33">
        <f>SUMIFS(M$5:M$65,$D$5:$D$65,$D93)</f>
        <v>780</v>
      </c>
      <c r="N93" s="33">
        <f>SUMIFS(N$5:N$65,$D$5:$D$65,$D93)</f>
        <v>760</v>
      </c>
    </row>
    <row r="94">
      <c r="A94" s="34" t="inlineStr">
        <is>
          <t>Six councils: independent</t>
        </is>
      </c>
      <c r="C94" s="43" t="inlineStr">
        <is>
          <t>Six councils</t>
        </is>
      </c>
      <c r="D94" s="43" t="inlineStr">
        <is>
          <t>Independent</t>
        </is>
      </c>
      <c r="E94" s="33">
        <f>SUMIFS(E$5:E$65,$D$5:$D$65,$D94)</f>
        <v>372</v>
      </c>
      <c r="F94" s="33">
        <f>SUMIFS(F$5:F$65,$D$5:$D$65,$D94)</f>
        <v>386</v>
      </c>
      <c r="G94" s="33">
        <f>SUMIFS(G$5:G$65,$D$5:$D$65,$D94)</f>
        <v>368</v>
      </c>
      <c r="H94" s="33">
        <f>SUMIFS(H$5:H$65,$D$5:$D$65,$D94)</f>
        <v>391</v>
      </c>
      <c r="I94" s="33">
        <f>SUMIFS(I$5:I$65,$D$5:$D$65,$D94)</f>
        <v>363</v>
      </c>
      <c r="J94" s="33">
        <f>SUMIFS(J$5:J$65,$D$5:$D$65,$D94)</f>
        <v>351</v>
      </c>
      <c r="K94" s="33">
        <f>SUMIFS(K$5:K$65,$D$5:$D$65,$D94)</f>
        <v>371</v>
      </c>
      <c r="L94" s="33">
        <f>SUMIFS(L$5:L$65,$D$5:$D$65,$D94)</f>
        <v>358</v>
      </c>
      <c r="M94" s="33">
        <f>SUMIFS(M$5:M$65,$D$5:$D$65,$D94)</f>
        <v>356</v>
      </c>
      <c r="N94" s="33">
        <f>SUMIFS(N$5:N$65,$D$5:$D$65,$D94)</f>
        <v>371</v>
      </c>
    </row>
    <row r="95">
      <c r="A95" s="34" t="inlineStr">
        <is>
          <t>Six councils: all sectors</t>
        </is>
      </c>
      <c r="C95" s="43" t="inlineStr">
        <is>
          <t>Six councils</t>
        </is>
      </c>
      <c r="D95" s="43" t="inlineStr">
        <is>
          <t>All sectors</t>
        </is>
      </c>
      <c r="E95" s="33">
        <f>SUM(E92:E94)</f>
        <v>4160</v>
      </c>
      <c r="F95" s="33">
        <f>SUM(F92:F94)</f>
        <v>4275</v>
      </c>
      <c r="G95" s="33">
        <f>SUM(G92:G94)</f>
        <v>4403</v>
      </c>
      <c r="H95" s="33">
        <f>SUM(H92:H94)</f>
        <v>4294</v>
      </c>
      <c r="I95" s="33">
        <f>SUM(I92:I94)</f>
        <v>4172</v>
      </c>
      <c r="J95" s="33">
        <f>SUM(J92:J94)</f>
        <v>4034</v>
      </c>
      <c r="K95" s="33">
        <f>SUM(K92:K94)</f>
        <v>3925</v>
      </c>
      <c r="L95" s="33">
        <f>SUM(L92:L94)</f>
        <v>3637</v>
      </c>
      <c r="M95" s="33">
        <f>SUM(M92:M94)</f>
        <v>3564</v>
      </c>
      <c r="N95" s="33">
        <f>SUM(N92:N94)</f>
        <v>3436</v>
      </c>
    </row>
  </sheetData>
  <mergeCells count="5">
    <mergeCell ref="P27:P29"/>
    <mergeCell ref="P12:P14"/>
    <mergeCell ref="P16:P18"/>
    <mergeCell ref="P20:P25"/>
    <mergeCell ref="P6:P8"/>
  </mergeCells>
  <hyperlinks>
    <hyperlink xmlns:r="http://schemas.openxmlformats.org/officeDocument/2006/relationships" ref="A2" r:id="rId1"/>
    <hyperlink xmlns:r="http://schemas.openxmlformats.org/officeDocument/2006/relationships" ref="P6" r:id="rId2"/>
    <hyperlink xmlns:r="http://schemas.openxmlformats.org/officeDocument/2006/relationships" ref="P10" r:id="rId3"/>
    <hyperlink xmlns:r="http://schemas.openxmlformats.org/officeDocument/2006/relationships" ref="P12" r:id="rId4"/>
    <hyperlink xmlns:r="http://schemas.openxmlformats.org/officeDocument/2006/relationships" ref="P16" r:id="rId5"/>
    <hyperlink xmlns:r="http://schemas.openxmlformats.org/officeDocument/2006/relationships" ref="P20" r:id="rId6"/>
    <hyperlink xmlns:r="http://schemas.openxmlformats.org/officeDocument/2006/relationships" ref="P32" r:id="rId7"/>
  </hyperlinks>
  <printOptions gridLines="0"/>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R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0" customWidth="1" min="4" max="4"/>
    <col width="12" customWidth="1" min="5" max="5"/>
    <col width="10" customWidth="1" min="6" max="6"/>
    <col width="10" customWidth="1" min="7" max="7"/>
    <col width="10" customWidth="1" min="8" max="8"/>
    <col width="13" customWidth="1" min="9" max="9"/>
    <col width="13" customWidth="1" min="10" max="10"/>
    <col width="11" customWidth="1" min="11" max="11"/>
    <col width="14" customWidth="1" min="12" max="12"/>
    <col width="14" customWidth="1" min="13" max="13"/>
    <col width="12" customWidth="1" min="14" max="14"/>
    <col width="10" customWidth="1" min="15" max="15"/>
    <col width="16" customWidth="1" min="16" max="16"/>
    <col width="3" customWidth="1" min="17" max="17"/>
    <col width="95" customWidth="1" min="18" max="18"/>
  </cols>
  <sheetData>
    <row r="1">
      <c r="A1" s="7" t="inlineStr">
        <is>
          <t>Kindergarten and the births behind it, by council</t>
        </is>
      </c>
    </row>
    <row r="2">
      <c r="A2" s="25" t="inlineStr">
        <is>
          <t>Lane Cove and five nearby councils. Kindergarten counted by the school's council area, all sectors: council totals are our sums of ACARA's school figures, on the Schools in the six councils sheet. Births are births registered to residents of each council area (ABS).</t>
        </is>
      </c>
    </row>
    <row r="3"/>
    <row r="4" ht="42" customHeight="1">
      <c r="A4" s="26" t="inlineStr">
        <is>
          <t>Council</t>
        </is>
      </c>
      <c r="B4" s="26" t="inlineStr">
        <is>
          <t>Kindergarten 2018</t>
        </is>
      </c>
      <c r="C4" s="26" t="inlineStr">
        <is>
          <t>Kindergarten 2025</t>
        </is>
      </c>
      <c r="D4" s="26" t="inlineStr">
        <is>
          <t>Change</t>
        </is>
      </c>
      <c r="E4" s="26" t="inlineStr">
        <is>
          <t>Kindergarten fell?</t>
        </is>
      </c>
      <c r="R4" s="27" t="inlineStr">
        <is>
          <t>In the article</t>
        </is>
      </c>
    </row>
    <row r="5">
      <c r="A5" s="34" t="inlineStr">
        <is>
          <t>Lane Cove</t>
        </is>
      </c>
      <c r="B5" s="33">
        <f>'Schools in the six councils'!G71</f>
        <v>413</v>
      </c>
      <c r="C5" s="33">
        <f>'Schools in the six councils'!N71</f>
        <v>300</v>
      </c>
      <c r="D5" s="38">
        <f>C5-B5</f>
        <v>-113</v>
      </c>
      <c r="E5" s="41" t="str">
        <f>IF(C5&lt;B5,"Yes","No")</f>
        <v>Yes</v>
      </c>
      <c r="R5" s="30" t="inlineStr">
        <is>
          <t>“Across the six council areas ITC examined (Lane Cove, Willoughby, Hunters Hill, North Sydney, Mosman and Ryde), kindergarten intake fell between 2018 and 2025 in every one.”</t>
        </is>
      </c>
    </row>
    <row r="6">
      <c r="A6" s="34" t="inlineStr">
        <is>
          <t>Willoughby</t>
        </is>
      </c>
      <c r="B6" s="33">
        <f>'Schools in the six councils'!G75</f>
        <v>976</v>
      </c>
      <c r="C6" s="33">
        <f>'Schools in the six councils'!N75</f>
        <v>719</v>
      </c>
      <c r="D6" s="38">
        <f>C6-B6</f>
        <v>-257</v>
      </c>
      <c r="E6" s="41" t="str">
        <f>IF(C6&lt;B6,"Yes","No")</f>
        <v>Yes</v>
      </c>
    </row>
    <row r="7">
      <c r="A7" s="34" t="inlineStr">
        <is>
          <t>Hunters Hill</t>
        </is>
      </c>
      <c r="B7" s="33">
        <f>'Schools in the six councils'!G79</f>
        <v>206</v>
      </c>
      <c r="C7" s="33">
        <f>'Schools in the six councils'!N79</f>
        <v>126</v>
      </c>
      <c r="D7" s="38">
        <f>C7-B7</f>
        <v>-80</v>
      </c>
      <c r="E7" s="41" t="str">
        <f>IF(C7&lt;B7,"Yes","No")</f>
        <v>Yes</v>
      </c>
    </row>
    <row r="8">
      <c r="A8" s="34" t="inlineStr">
        <is>
          <t>North Sydney</t>
        </is>
      </c>
      <c r="B8" s="33">
        <f>'Schools in the six councils'!G83</f>
        <v>812</v>
      </c>
      <c r="C8" s="33">
        <f>'Schools in the six councils'!N83</f>
        <v>622</v>
      </c>
      <c r="D8" s="38">
        <f>C8-B8</f>
        <v>-190</v>
      </c>
      <c r="E8" s="41" t="str">
        <f>IF(C8&lt;B8,"Yes","No")</f>
        <v>Yes</v>
      </c>
      <c r="R8" s="27" t="inlineStr">
        <is>
          <t>How the figures are worked out</t>
        </is>
      </c>
    </row>
    <row r="9">
      <c r="A9" s="34" t="inlineStr">
        <is>
          <t>Mosman</t>
        </is>
      </c>
      <c r="B9" s="33">
        <f>'Schools in the six councils'!G87</f>
        <v>376</v>
      </c>
      <c r="C9" s="33">
        <f>'Schools in the six councils'!N87</f>
        <v>268</v>
      </c>
      <c r="D9" s="38">
        <f>C9-B9</f>
        <v>-108</v>
      </c>
      <c r="E9" s="41" t="str">
        <f>IF(C9&lt;B9,"Yes","No")</f>
        <v>Yes</v>
      </c>
      <c r="R9" s="4" t="inlineStr">
        <is>
          <t>Kindergarten is every school located in each council area (ACARA, all sectors, special schools left out), added up on the Schools in the six councils sheet. Births are births registered to residents of each council area (ABS, by year of registration).</t>
        </is>
      </c>
    </row>
    <row r="10">
      <c r="A10" s="34" t="inlineStr">
        <is>
          <t>Ryde</t>
        </is>
      </c>
      <c r="B10" s="33">
        <f>'Schools in the six councils'!G91</f>
        <v>1620</v>
      </c>
      <c r="C10" s="33">
        <f>'Schools in the six councils'!N91</f>
        <v>1401</v>
      </c>
      <c r="D10" s="38">
        <f>C10-B10</f>
        <v>-219</v>
      </c>
      <c r="E10" s="41" t="str">
        <f>IF(C10&lt;B10,"Yes","No")</f>
        <v>Yes</v>
      </c>
    </row>
    <row r="11">
      <c r="A11" s="34" t="inlineStr">
        <is>
          <t>Six councils</t>
        </is>
      </c>
      <c r="B11" s="33">
        <f>SUM(B5:B10)</f>
        <v>4403</v>
      </c>
      <c r="C11" s="33">
        <f>SUM(C5:C10)</f>
        <v>3436</v>
      </c>
      <c r="D11" s="38">
        <f>C11-B11</f>
        <v>-967</v>
      </c>
      <c r="E11" s="43" t="n"/>
    </row>
    <row r="12" ht="28.5" customHeight="1">
      <c r="A12" s="34" t="inlineStr">
        <is>
          <t>Councils where kindergarten fell, 2018 to 2025</t>
        </is>
      </c>
      <c r="B12" s="33">
        <f>COUNTIF(E5:E10,"Yes")</f>
        <v>6</v>
      </c>
    </row>
    <row r="13">
      <c r="R13" s="3" t="inlineStr">
        <is>
          <t>Windows: the kindergarten classes of 2016 to 2019 are set against births registered in 2011 to 2014, and the classes of 2023 to 2025 against births registered in 2018 to 2020: five years earlier in each case. Each is a yearly average. Our arithmetic.</t>
        </is>
      </c>
    </row>
    <row r="14">
      <c r="A14" s="34" t="inlineStr">
        <is>
          <t>Births behind the 2016 to 2019 classes against births behind the 2023 to 2025 classes</t>
        </is>
      </c>
      <c r="B14" s="46" t="n"/>
      <c r="C14" s="46" t="n"/>
      <c r="D14" s="46" t="n"/>
      <c r="E14" s="46" t="n"/>
      <c r="F14" s="46" t="n"/>
      <c r="G14" s="46" t="n"/>
      <c r="H14" s="47" t="n"/>
    </row>
    <row r="15" ht="84" customHeight="1">
      <c r="A15" s="26" t="inlineStr">
        <is>
          <t>Council</t>
        </is>
      </c>
      <c r="B15" s="26" t="inlineStr">
        <is>
          <t>Births 2011</t>
        </is>
      </c>
      <c r="C15" s="26" t="inlineStr">
        <is>
          <t>Births 2012</t>
        </is>
      </c>
      <c r="D15" s="26" t="inlineStr">
        <is>
          <t>Births 2013</t>
        </is>
      </c>
      <c r="E15" s="26" t="inlineStr">
        <is>
          <t>Births 2014</t>
        </is>
      </c>
      <c r="F15" s="26" t="inlineStr">
        <is>
          <t>Births 2018</t>
        </is>
      </c>
      <c r="G15" s="26" t="inlineStr">
        <is>
          <t>Births 2019</t>
        </is>
      </c>
      <c r="H15" s="26" t="inlineStr">
        <is>
          <t>Births 2020</t>
        </is>
      </c>
      <c r="I15" s="26" t="inlineStr">
        <is>
          <t>Births, yearly average 2011 to 2014</t>
        </is>
      </c>
      <c r="J15" s="26" t="inlineStr">
        <is>
          <t>Births, yearly average 2018 to 2020</t>
        </is>
      </c>
      <c r="K15" s="26" t="inlineStr">
        <is>
          <t>Births: change (%)</t>
        </is>
      </c>
      <c r="L15" s="26" t="inlineStr">
        <is>
          <t>Kindergarten, yearly average 2016 to 2019</t>
        </is>
      </c>
      <c r="M15" s="26" t="inlineStr">
        <is>
          <t>Kindergarten, yearly average 2023 to 2025</t>
        </is>
      </c>
      <c r="N15" s="26" t="inlineStr">
        <is>
          <t>Kindergarten: change (%)</t>
        </is>
      </c>
      <c r="O15" s="26" t="inlineStr">
        <is>
          <t>Births fell?</t>
        </is>
      </c>
      <c r="P15" s="26" t="inlineStr">
        <is>
          <t>Where births fell: did kindergarten fall by more?</t>
        </is>
      </c>
    </row>
    <row r="16">
      <c r="A16" s="34" t="inlineStr">
        <is>
          <t>Lane Cove</t>
        </is>
      </c>
      <c r="B16" s="32" t="n">
        <v>448</v>
      </c>
      <c r="C16" s="32" t="n">
        <v>472</v>
      </c>
      <c r="D16" s="32" t="n">
        <v>478</v>
      </c>
      <c r="E16" s="32" t="n">
        <v>433</v>
      </c>
      <c r="F16" s="32" t="n">
        <v>598</v>
      </c>
      <c r="G16" s="32" t="n">
        <v>564</v>
      </c>
      <c r="H16" s="32" t="n">
        <v>533</v>
      </c>
      <c r="I16" s="44">
        <f>AVERAGE(B16:E16)</f>
        <v>457.75</v>
      </c>
      <c r="J16" s="44">
        <f>AVERAGE(F16:H16)</f>
        <v>565</v>
      </c>
      <c r="K16" s="37">
        <f>J16/I16-1</f>
        <v>0.234298197706172</v>
      </c>
      <c r="L16" s="44">
        <f>AVERAGE('Schools in the six councils'!E71:H71)</f>
        <v>404.5</v>
      </c>
      <c r="M16" s="44">
        <f>AVERAGE('Schools in the six councils'!L71:N71)</f>
        <v>314</v>
      </c>
      <c r="N16" s="37">
        <f>M16/L16-1</f>
        <v>-0.223733003708282</v>
      </c>
      <c r="O16" s="41" t="str">
        <f>IF(K16&lt;0,"Yes","No")</f>
        <v>No</v>
      </c>
      <c r="P16" s="41">
        <f>IF(K16&lt;0,IF(N16&lt;K16,"Yes","No"),"")</f>
        <v/>
      </c>
    </row>
    <row r="17">
      <c r="A17" s="34" t="inlineStr">
        <is>
          <t>Willoughby</t>
        </is>
      </c>
      <c r="B17" s="32" t="n">
        <v>985</v>
      </c>
      <c r="C17" s="32" t="n">
        <v>988</v>
      </c>
      <c r="D17" s="32" t="n">
        <v>961</v>
      </c>
      <c r="E17" s="32" t="n">
        <v>900</v>
      </c>
      <c r="F17" s="32" t="n">
        <v>878</v>
      </c>
      <c r="G17" s="32" t="n">
        <v>826</v>
      </c>
      <c r="H17" s="32" t="n">
        <v>750</v>
      </c>
      <c r="I17" s="44">
        <f>AVERAGE(B17:E17)</f>
        <v>958.5</v>
      </c>
      <c r="J17" s="44">
        <f>AVERAGE(F17:H17)</f>
        <v>818</v>
      </c>
      <c r="K17" s="37">
        <f>J17/I17-1</f>
        <v>-0.146583202921231</v>
      </c>
      <c r="L17" s="44">
        <f>AVERAGE('Schools in the six councils'!E75:H75)</f>
        <v>953.5</v>
      </c>
      <c r="M17" s="44">
        <f>AVERAGE('Schools in the six councils'!L75:N75)</f>
        <v>725.666666666667</v>
      </c>
      <c r="N17" s="37">
        <f>M17/L17-1</f>
        <v>-0.238944240517392</v>
      </c>
      <c r="O17" s="41" t="str">
        <f>IF(K17&lt;0,"Yes","No")</f>
        <v>Yes</v>
      </c>
      <c r="P17" s="41" t="str">
        <f>IF(K17&lt;0,IF(N17&lt;K17,"Yes","No"),"")</f>
        <v>Yes</v>
      </c>
      <c r="R17" s="3" t="inlineStr">
        <is>
          <t>North Sydney's figures up to 2020 include St Mary's Catholic Primary School, North Sydney (ACARA 43440; 68 kindergarten children in 2018), which merged into Marist Catholic College North Shore from 2021.</t>
        </is>
      </c>
    </row>
    <row r="18">
      <c r="A18" s="34" t="inlineStr">
        <is>
          <t>Hunters Hill</t>
        </is>
      </c>
      <c r="B18" s="32" t="n">
        <v>148</v>
      </c>
      <c r="C18" s="32" t="n">
        <v>147</v>
      </c>
      <c r="D18" s="32" t="n">
        <v>135</v>
      </c>
      <c r="E18" s="32" t="n">
        <v>113</v>
      </c>
      <c r="F18" s="32" t="n">
        <v>124</v>
      </c>
      <c r="G18" s="32" t="n">
        <v>96</v>
      </c>
      <c r="H18" s="32" t="n">
        <v>105</v>
      </c>
      <c r="I18" s="44">
        <f>AVERAGE(B18:E18)</f>
        <v>135.75</v>
      </c>
      <c r="J18" s="44">
        <f>AVERAGE(F18:H18)</f>
        <v>108.333333333333</v>
      </c>
      <c r="K18" s="37">
        <f>J18/I18-1</f>
        <v>-0.201964395334561</v>
      </c>
      <c r="L18" s="44">
        <f>AVERAGE('Schools in the six councils'!E79:H79)</f>
        <v>203.5</v>
      </c>
      <c r="M18" s="44">
        <f>AVERAGE('Schools in the six councils'!L79:N79)</f>
        <v>154</v>
      </c>
      <c r="N18" s="37">
        <f>M18/L18-1</f>
        <v>-0.243243243243243</v>
      </c>
      <c r="O18" s="41" t="str">
        <f>IF(K18&lt;0,"Yes","No")</f>
        <v>Yes</v>
      </c>
      <c r="P18" s="41" t="str">
        <f>IF(K18&lt;0,IF(N18&lt;K18,"Yes","No"),"")</f>
        <v>Yes</v>
      </c>
    </row>
    <row r="19">
      <c r="A19" s="34" t="inlineStr">
        <is>
          <t>North Sydney</t>
        </is>
      </c>
      <c r="B19" s="32" t="n">
        <v>1089</v>
      </c>
      <c r="C19" s="32" t="n">
        <v>1088</v>
      </c>
      <c r="D19" s="32" t="n">
        <v>1046</v>
      </c>
      <c r="E19" s="32" t="n">
        <v>1136</v>
      </c>
      <c r="F19" s="32" t="n">
        <v>1166</v>
      </c>
      <c r="G19" s="32" t="n">
        <v>1011</v>
      </c>
      <c r="H19" s="32" t="n">
        <v>964</v>
      </c>
      <c r="I19" s="44">
        <f>AVERAGE(B19:E19)</f>
        <v>1089.75</v>
      </c>
      <c r="J19" s="44">
        <f>AVERAGE(F19:H19)</f>
        <v>1047</v>
      </c>
      <c r="K19" s="37">
        <f>J19/I19-1</f>
        <v>-0.0392291810048177</v>
      </c>
      <c r="L19" s="44">
        <f>AVERAGE('Schools in the six councils'!E83:H83)</f>
        <v>783.75</v>
      </c>
      <c r="M19" s="44">
        <f>AVERAGE('Schools in the six councils'!L83:N83)</f>
        <v>635.333333333333</v>
      </c>
      <c r="N19" s="37">
        <f>M19/L19-1</f>
        <v>-0.18936735778841</v>
      </c>
      <c r="O19" s="41" t="str">
        <f>IF(K19&lt;0,"Yes","No")</f>
        <v>Yes</v>
      </c>
      <c r="P19" s="41" t="str">
        <f>IF(K19&lt;0,IF(N19&lt;K19,"Yes","No"),"")</f>
        <v>Yes</v>
      </c>
    </row>
    <row r="20">
      <c r="A20" s="34" t="inlineStr">
        <is>
          <t>Mosman</t>
        </is>
      </c>
      <c r="B20" s="32" t="n">
        <v>366</v>
      </c>
      <c r="C20" s="32" t="n">
        <v>350</v>
      </c>
      <c r="D20" s="32" t="n">
        <v>357</v>
      </c>
      <c r="E20" s="32" t="n">
        <v>321</v>
      </c>
      <c r="F20" s="32" t="n">
        <v>357</v>
      </c>
      <c r="G20" s="32" t="n">
        <v>289</v>
      </c>
      <c r="H20" s="32" t="n">
        <v>307</v>
      </c>
      <c r="I20" s="44">
        <f>AVERAGE(B20:E20)</f>
        <v>348.5</v>
      </c>
      <c r="J20" s="44">
        <f>AVERAGE(F20:H20)</f>
        <v>317.666666666667</v>
      </c>
      <c r="K20" s="37">
        <f>J20/I20-1</f>
        <v>-0.0884744141559062</v>
      </c>
      <c r="L20" s="44">
        <f>AVERAGE('Schools in the six councils'!E87:H87)</f>
        <v>401.75</v>
      </c>
      <c r="M20" s="44">
        <f>AVERAGE('Schools in the six councils'!L87:N87)</f>
        <v>283.666666666667</v>
      </c>
      <c r="N20" s="37">
        <f>M20/L20-1</f>
        <v>-0.293922422733873</v>
      </c>
      <c r="O20" s="41" t="str">
        <f>IF(K20&lt;0,"Yes","No")</f>
        <v>Yes</v>
      </c>
      <c r="P20" s="41" t="str">
        <f>IF(K20&lt;0,IF(N20&lt;K20,"Yes","No"),"")</f>
        <v>Yes</v>
      </c>
    </row>
    <row r="21">
      <c r="A21" s="34" t="inlineStr">
        <is>
          <t>Ryde</t>
        </is>
      </c>
      <c r="B21" s="32" t="n">
        <v>1381</v>
      </c>
      <c r="C21" s="32" t="n">
        <v>1480</v>
      </c>
      <c r="D21" s="32" t="n">
        <v>1588</v>
      </c>
      <c r="E21" s="32" t="n">
        <v>1433</v>
      </c>
      <c r="F21" s="32" t="n">
        <v>1627</v>
      </c>
      <c r="G21" s="32" t="n">
        <v>1566</v>
      </c>
      <c r="H21" s="32" t="n">
        <v>1493</v>
      </c>
      <c r="I21" s="44">
        <f>AVERAGE(B21:E21)</f>
        <v>1470.5</v>
      </c>
      <c r="J21" s="44">
        <f>AVERAGE(F21:H21)</f>
        <v>1562</v>
      </c>
      <c r="K21" s="37">
        <f>J21/I21-1</f>
        <v>0.0622237334240054</v>
      </c>
      <c r="L21" s="44">
        <f>AVERAGE('Schools in the six councils'!E91:H91)</f>
        <v>1536</v>
      </c>
      <c r="M21" s="44">
        <f>AVERAGE('Schools in the six councils'!L91:N91)</f>
        <v>1433</v>
      </c>
      <c r="N21" s="37">
        <f>M21/L21-1</f>
        <v>-0.0670572916666666</v>
      </c>
      <c r="O21" s="41" t="str">
        <f>IF(K21&lt;0,"Yes","No")</f>
        <v>No</v>
      </c>
      <c r="P21" s="41">
        <f>IF(K21&lt;0,IF(N21&lt;K21,"Yes","No"),"")</f>
        <v/>
      </c>
      <c r="R21" s="4" t="inlineStr">
        <is>
          <t>Shore's kindergarten, at its Northbridge preparatory campus in Willoughby council area, is counted in North Sydney, because ACARA reports it under the head campus there. See the coverage notes on the About sheet.</t>
        </is>
      </c>
    </row>
    <row r="22">
      <c r="A22" s="34" t="inlineStr">
        <is>
          <t>Six councils</t>
        </is>
      </c>
      <c r="B22" s="33">
        <f>SUM(B16:B21)</f>
        <v>4417</v>
      </c>
      <c r="C22" s="33">
        <f>SUM(C16:C21)</f>
        <v>4525</v>
      </c>
      <c r="D22" s="33">
        <f>SUM(D16:D21)</f>
        <v>4565</v>
      </c>
      <c r="E22" s="33">
        <f>SUM(E16:E21)</f>
        <v>4336</v>
      </c>
      <c r="F22" s="33">
        <f>SUM(F16:F21)</f>
        <v>4750</v>
      </c>
      <c r="G22" s="33">
        <f>SUM(G16:G21)</f>
        <v>4352</v>
      </c>
      <c r="H22" s="33">
        <f>SUM(H16:H21)</f>
        <v>4152</v>
      </c>
      <c r="I22" s="44">
        <f>AVERAGE(B22:E22)</f>
        <v>4460.75</v>
      </c>
      <c r="J22" s="44">
        <f>AVERAGE(F22:H22)</f>
        <v>4418</v>
      </c>
      <c r="K22" s="37">
        <f>J22/I22-1</f>
        <v>-0.00958359020344113</v>
      </c>
      <c r="L22" s="44">
        <f>AVERAGE('Schools in the six councils'!E95:H95)</f>
        <v>4283</v>
      </c>
      <c r="M22" s="44">
        <f>AVERAGE('Schools in the six councils'!L95:N95)</f>
        <v>3545.66666666667</v>
      </c>
      <c r="N22" s="37">
        <f>M22/L22-1</f>
        <v>-0.172153474978598</v>
      </c>
      <c r="O22" s="43" t="n"/>
      <c r="P22" s="43" t="n"/>
    </row>
    <row r="23"/>
    <row r="24" ht="28.5" customHeight="1">
      <c r="A24" s="34" t="inlineStr">
        <is>
          <t>Councils where births fell (between the two windows)</t>
        </is>
      </c>
      <c r="B24" s="33">
        <f>COUNTIF(O16:O21,"Yes")</f>
        <v>4</v>
      </c>
    </row>
    <row r="25" ht="41.25" customHeight="1">
      <c r="A25" s="34" t="inlineStr">
        <is>
          <t>Of those, councils where kindergarten fell by more than births</t>
        </is>
      </c>
      <c r="B25" s="33">
        <f>COUNTIF(P16:P21,"Yes")</f>
        <v>4</v>
      </c>
      <c r="R25" s="4" t="inlineStr">
        <is>
          <t>Reddam House North Shore, an independent school in North Sydney, is not in these figures in any year. ACARA lists it as a sub-campus of Reddam House, whose head campus is in Woollahra, and reports it under the head campus's school ID. From 2016 to 2019, ACARA's only Reddam House enrolment figures are the head campus's, located in Woollahra and so outside the six councils; after 2019 ACARA has no Reddam House enrolment figures at all. Any kindergarten at the North Shore campus therefore cannot be seen in these figures.</t>
        </is>
      </c>
    </row>
    <row r="26"/>
    <row r="27"/>
    <row r="28"/>
    <row r="29"/>
    <row r="30"/>
    <row r="31"/>
    <row r="32">
      <c r="R32" s="27" t="inlineStr">
        <is>
          <t>Sources</t>
        </is>
      </c>
    </row>
    <row r="33">
      <c r="R33" s="42" t="inlineStr">
        <is>
          <t>ACARA Data Access Program: Enrolments by Grade 2008-2025 and School Locations 2025</t>
        </is>
      </c>
    </row>
    <row r="34">
      <c r="R34" s="42" t="inlineStr">
        <is>
          <t>ABS Births, Australia 2024: births and fertility by local government area (33010DC03)</t>
        </is>
      </c>
    </row>
  </sheetData>
  <mergeCells count="7">
    <mergeCell ref="R17:R19"/>
    <mergeCell ref="R5:R6"/>
    <mergeCell ref="R9:R11"/>
    <mergeCell ref="R13:R15"/>
    <mergeCell ref="R25:R30"/>
    <mergeCell ref="R21:R23"/>
    <mergeCell ref="A14:H14"/>
  </mergeCells>
  <hyperlinks>
    <hyperlink xmlns:r="http://schemas.openxmlformats.org/officeDocument/2006/relationships" ref="A2" r:id="rId1"/>
    <hyperlink xmlns:r="http://schemas.openxmlformats.org/officeDocument/2006/relationships" ref="R9" r:id="rId2"/>
    <hyperlink xmlns:r="http://schemas.openxmlformats.org/officeDocument/2006/relationships" ref="R21" r:id="rId3"/>
    <hyperlink xmlns:r="http://schemas.openxmlformats.org/officeDocument/2006/relationships" ref="R25" r:id="rId4"/>
    <hyperlink xmlns:r="http://schemas.openxmlformats.org/officeDocument/2006/relationships" ref="R33" r:id="rId5"/>
    <hyperlink xmlns:r="http://schemas.openxmlformats.org/officeDocument/2006/relationships" ref="R34" r:id="rId6"/>
  </hyperlinks>
  <printOptions gridLines="0"/>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Q5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3" customWidth="1" min="14" max="14"/>
    <col width="16" customWidth="1" min="15" max="15"/>
    <col width="3" customWidth="1" min="16" max="16"/>
    <col width="95" customWidth="1" min="17" max="17"/>
  </cols>
  <sheetData>
    <row r="1">
      <c r="A1" s="7" t="inlineStr">
        <is>
          <t>Kindergarten by school sector, 2016 to 2025</t>
        </is>
      </c>
    </row>
    <row r="2">
      <c r="A2" s="25" t="inlineStr">
        <is>
          <t>Counted where the school is. ACARA 'One year before Year 1', August census; special schools left out. Area and sector totals are our sums of ACARA's school figures.</t>
        </is>
      </c>
    </row>
    <row r="3"/>
    <row r="4">
      <c r="A4" s="26" t="inlineStr">
        <is>
          <t>Year</t>
        </is>
      </c>
      <c r="B4" s="51" t="inlineStr">
        <is>
          <t>Lane Cove council area</t>
        </is>
      </c>
      <c r="C4" s="46" t="n"/>
      <c r="D4" s="46" t="n"/>
      <c r="E4" s="47" t="n"/>
      <c r="F4" s="51" t="inlineStr">
        <is>
          <t>Lane Cove and five nearby councils</t>
        </is>
      </c>
      <c r="G4" s="46" t="n"/>
      <c r="H4" s="46" t="n"/>
      <c r="I4" s="47" t="n"/>
      <c r="J4" s="51" t="inlineStr">
        <is>
          <t>Greater Sydney</t>
        </is>
      </c>
      <c r="K4" s="46" t="n"/>
      <c r="L4" s="46" t="n"/>
      <c r="M4" s="47" t="n"/>
      <c r="O4" s="26" t="inlineStr">
        <is>
          <t>Six councils: independent, without the International Chinese School</t>
        </is>
      </c>
      <c r="Q4" s="27" t="inlineStr">
        <is>
          <t>In the article</t>
        </is>
      </c>
    </row>
    <row r="5">
      <c r="A5" s="26" t="inlineStr"/>
      <c r="B5" s="26" t="inlineStr">
        <is>
          <t>Government</t>
        </is>
      </c>
      <c r="C5" s="26" t="inlineStr">
        <is>
          <t>Catholic</t>
        </is>
      </c>
      <c r="D5" s="26" t="inlineStr">
        <is>
          <t>Independent</t>
        </is>
      </c>
      <c r="E5" s="26" t="inlineStr">
        <is>
          <t>All sectors</t>
        </is>
      </c>
      <c r="F5" s="26" t="inlineStr">
        <is>
          <t>Government</t>
        </is>
      </c>
      <c r="G5" s="26" t="inlineStr">
        <is>
          <t>Catholic</t>
        </is>
      </c>
      <c r="H5" s="26" t="inlineStr">
        <is>
          <t>Independent</t>
        </is>
      </c>
      <c r="I5" s="26" t="inlineStr">
        <is>
          <t>All sectors</t>
        </is>
      </c>
      <c r="J5" s="26" t="inlineStr">
        <is>
          <t>Government</t>
        </is>
      </c>
      <c r="K5" s="26" t="inlineStr">
        <is>
          <t>Catholic</t>
        </is>
      </c>
      <c r="L5" s="26" t="inlineStr">
        <is>
          <t>Independent</t>
        </is>
      </c>
      <c r="M5" s="26" t="inlineStr">
        <is>
          <t>All sectors</t>
        </is>
      </c>
      <c r="O5" s="26" t="inlineStr"/>
      <c r="Q5" s="30" t="inlineStr">
        <is>
          <t>“Reddam House North Shore, an independent school in North Sydney, opened for kindergarten to Year 10 at the start of 2025, and ACARA has no figures for it.”</t>
        </is>
      </c>
    </row>
    <row r="6">
      <c r="A6" s="31" t="n">
        <v>2016</v>
      </c>
      <c r="B6" s="33">
        <f>'Schools in the six councils'!E68</f>
        <v>278</v>
      </c>
      <c r="C6" s="33">
        <f>'Schools in the six councils'!E69</f>
        <v>82</v>
      </c>
      <c r="D6" s="33">
        <f>'Schools in the six councils'!E70</f>
        <v>17</v>
      </c>
      <c r="E6" s="33">
        <f>SUM(B6:D6)</f>
        <v>377</v>
      </c>
      <c r="F6" s="33">
        <f>'Schools in the six councils'!E92</f>
        <v>3005</v>
      </c>
      <c r="G6" s="33">
        <f>'Schools in the six councils'!E93</f>
        <v>783</v>
      </c>
      <c r="H6" s="33">
        <f>'Schools in the six councils'!E94</f>
        <v>372</v>
      </c>
      <c r="I6" s="33">
        <f>SUM(F6:H6)</f>
        <v>4160</v>
      </c>
      <c r="J6" s="32" t="n">
        <v>45503</v>
      </c>
      <c r="K6" s="32" t="n">
        <v>11563</v>
      </c>
      <c r="L6" s="32" t="n">
        <v>7635</v>
      </c>
      <c r="M6" s="33">
        <f>SUM(J6:L6)</f>
        <v>64701</v>
      </c>
      <c r="O6" s="33">
        <f>H6-'Schools in the six councils'!E20</f>
        <v>359</v>
      </c>
    </row>
    <row r="7">
      <c r="A7" s="31" t="n">
        <v>2017</v>
      </c>
      <c r="B7" s="33">
        <f>'Schools in the six councils'!F68</f>
        <v>306</v>
      </c>
      <c r="C7" s="33">
        <f>'Schools in the six councils'!F69</f>
        <v>94</v>
      </c>
      <c r="D7" s="33">
        <f>'Schools in the six councils'!F70</f>
        <v>17</v>
      </c>
      <c r="E7" s="33">
        <f>SUM(B7:D7)</f>
        <v>417</v>
      </c>
      <c r="F7" s="33">
        <f>'Schools in the six councils'!F92</f>
        <v>3142</v>
      </c>
      <c r="G7" s="33">
        <f>'Schools in the six councils'!F93</f>
        <v>747</v>
      </c>
      <c r="H7" s="33">
        <f>'Schools in the six councils'!F94</f>
        <v>386</v>
      </c>
      <c r="I7" s="33">
        <f>SUM(F7:H7)</f>
        <v>4275</v>
      </c>
      <c r="J7" s="32" t="n">
        <v>46317</v>
      </c>
      <c r="K7" s="32" t="n">
        <v>11602</v>
      </c>
      <c r="L7" s="32" t="n">
        <v>7775</v>
      </c>
      <c r="M7" s="33">
        <f>SUM(J7:L7)</f>
        <v>65694</v>
      </c>
      <c r="O7" s="33">
        <f>H7-'Schools in the six councils'!F20</f>
        <v>375</v>
      </c>
    </row>
    <row r="8">
      <c r="A8" s="31" t="n">
        <v>2018</v>
      </c>
      <c r="B8" s="33">
        <f>'Schools in the six councils'!G68</f>
        <v>324</v>
      </c>
      <c r="C8" s="33">
        <f>'Schools in the six councils'!G69</f>
        <v>76</v>
      </c>
      <c r="D8" s="33">
        <f>'Schools in the six councils'!G70</f>
        <v>13</v>
      </c>
      <c r="E8" s="33">
        <f>SUM(B8:D8)</f>
        <v>413</v>
      </c>
      <c r="F8" s="33">
        <f>'Schools in the six councils'!G92</f>
        <v>3288</v>
      </c>
      <c r="G8" s="33">
        <f>'Schools in the six councils'!G93</f>
        <v>747</v>
      </c>
      <c r="H8" s="33">
        <f>'Schools in the six councils'!G94</f>
        <v>368</v>
      </c>
      <c r="I8" s="33">
        <f>SUM(F8:H8)</f>
        <v>4403</v>
      </c>
      <c r="J8" s="32" t="n">
        <v>47306</v>
      </c>
      <c r="K8" s="32" t="n">
        <v>11610</v>
      </c>
      <c r="L8" s="32" t="n">
        <v>7988</v>
      </c>
      <c r="M8" s="33">
        <f>SUM(J8:L8)</f>
        <v>66904</v>
      </c>
      <c r="O8" s="33">
        <f>H8-'Schools in the six councils'!G20</f>
        <v>356</v>
      </c>
      <c r="Q8" s="30" t="inlineStr">
        <is>
          <t>“No sign of a rush to private schools nearby: across Lane Cove and five nearby councils, Catholic and independent kindergarten held steady from 2016 to 2025, while government kindergarten fell from 3,005 to 2,305.”</t>
        </is>
      </c>
    </row>
    <row r="9">
      <c r="A9" s="31" t="n">
        <v>2019</v>
      </c>
      <c r="B9" s="33">
        <f>'Schools in the six councils'!H68</f>
        <v>323</v>
      </c>
      <c r="C9" s="33">
        <f>'Schools in the six councils'!H69</f>
        <v>72</v>
      </c>
      <c r="D9" s="33">
        <f>'Schools in the six councils'!H70</f>
        <v>16</v>
      </c>
      <c r="E9" s="33">
        <f>SUM(B9:D9)</f>
        <v>411</v>
      </c>
      <c r="F9" s="33">
        <f>'Schools in the six councils'!H92</f>
        <v>3136</v>
      </c>
      <c r="G9" s="33">
        <f>'Schools in the six councils'!H93</f>
        <v>767</v>
      </c>
      <c r="H9" s="33">
        <f>'Schools in the six councils'!H94</f>
        <v>391</v>
      </c>
      <c r="I9" s="33">
        <f>SUM(F9:H9)</f>
        <v>4294</v>
      </c>
      <c r="J9" s="32" t="n">
        <v>46244</v>
      </c>
      <c r="K9" s="32" t="n">
        <v>11521</v>
      </c>
      <c r="L9" s="32" t="n">
        <v>8248</v>
      </c>
      <c r="M9" s="33">
        <f>SUM(J9:L9)</f>
        <v>66013</v>
      </c>
      <c r="O9" s="33">
        <f>H9-'Schools in the six councils'!H20</f>
        <v>379</v>
      </c>
    </row>
    <row r="10">
      <c r="A10" s="31" t="n">
        <v>2020</v>
      </c>
      <c r="B10" s="33">
        <f>'Schools in the six councils'!I68</f>
        <v>272</v>
      </c>
      <c r="C10" s="33">
        <f>'Schools in the six councils'!I69</f>
        <v>88</v>
      </c>
      <c r="D10" s="33">
        <f>'Schools in the six councils'!I70</f>
        <v>11</v>
      </c>
      <c r="E10" s="33">
        <f>SUM(B10:D10)</f>
        <v>371</v>
      </c>
      <c r="F10" s="33">
        <f>'Schools in the six councils'!I92</f>
        <v>3061</v>
      </c>
      <c r="G10" s="33">
        <f>'Schools in the six councils'!I93</f>
        <v>748</v>
      </c>
      <c r="H10" s="33">
        <f>'Schools in the six councils'!I94</f>
        <v>363</v>
      </c>
      <c r="I10" s="33">
        <f>SUM(F10:H10)</f>
        <v>4172</v>
      </c>
      <c r="J10" s="32" t="n">
        <v>46295</v>
      </c>
      <c r="K10" s="32" t="n">
        <v>11482</v>
      </c>
      <c r="L10" s="32" t="n">
        <v>8207</v>
      </c>
      <c r="M10" s="33">
        <f>SUM(J10:L10)</f>
        <v>65984</v>
      </c>
      <c r="O10" s="33">
        <f>H10-'Schools in the six councils'!I20</f>
        <v>337</v>
      </c>
    </row>
    <row r="11">
      <c r="A11" s="31" t="n">
        <v>2021</v>
      </c>
      <c r="B11" s="33">
        <f>'Schools in the six councils'!J68</f>
        <v>299</v>
      </c>
      <c r="C11" s="33">
        <f>'Schools in the six councils'!J69</f>
        <v>100</v>
      </c>
      <c r="D11" s="33">
        <f>'Schools in the six councils'!J70</f>
        <v>15</v>
      </c>
      <c r="E11" s="33">
        <f>SUM(B11:D11)</f>
        <v>414</v>
      </c>
      <c r="F11" s="33">
        <f>'Schools in the six councils'!J92</f>
        <v>2895</v>
      </c>
      <c r="G11" s="33">
        <f>'Schools in the six councils'!J93</f>
        <v>788</v>
      </c>
      <c r="H11" s="33">
        <f>'Schools in the six councils'!J94</f>
        <v>351</v>
      </c>
      <c r="I11" s="33">
        <f>SUM(F11:H11)</f>
        <v>4034</v>
      </c>
      <c r="J11" s="32" t="n">
        <v>45015</v>
      </c>
      <c r="K11" s="32" t="n">
        <v>11724</v>
      </c>
      <c r="L11" s="32" t="n">
        <v>8511</v>
      </c>
      <c r="M11" s="33">
        <f>SUM(J11:L11)</f>
        <v>65250</v>
      </c>
      <c r="O11" s="33">
        <f>H11-'Schools in the six councils'!J20</f>
        <v>334</v>
      </c>
    </row>
    <row r="12">
      <c r="A12" s="31" t="n">
        <v>2022</v>
      </c>
      <c r="B12" s="33">
        <f>'Schools in the six councils'!K68</f>
        <v>252</v>
      </c>
      <c r="C12" s="33">
        <f>'Schools in the six councils'!K69</f>
        <v>77</v>
      </c>
      <c r="D12" s="33">
        <f>'Schools in the six councils'!K70</f>
        <v>20</v>
      </c>
      <c r="E12" s="33">
        <f>SUM(B12:D12)</f>
        <v>349</v>
      </c>
      <c r="F12" s="33">
        <f>'Schools in the six councils'!K92</f>
        <v>2778</v>
      </c>
      <c r="G12" s="33">
        <f>'Schools in the six councils'!K93</f>
        <v>776</v>
      </c>
      <c r="H12" s="33">
        <f>'Schools in the six councils'!K94</f>
        <v>371</v>
      </c>
      <c r="I12" s="33">
        <f>SUM(F12:H12)</f>
        <v>3925</v>
      </c>
      <c r="J12" s="32" t="n">
        <v>43785</v>
      </c>
      <c r="K12" s="32" t="n">
        <v>12144</v>
      </c>
      <c r="L12" s="32" t="n">
        <v>8868</v>
      </c>
      <c r="M12" s="33">
        <f>SUM(J12:L12)</f>
        <v>64797</v>
      </c>
      <c r="O12" s="33">
        <f>H12-'Schools in the six councils'!K20</f>
        <v>347</v>
      </c>
      <c r="Q12" s="30" t="inlineStr">
        <is>
          <t>“Across all six councils over the same years, Catholic and independent kindergarten held steady, while government kindergarten fell from 3,005 to 2,305.”</t>
        </is>
      </c>
    </row>
    <row r="13">
      <c r="A13" s="31" t="n">
        <v>2023</v>
      </c>
      <c r="B13" s="33">
        <f>'Schools in the six councils'!L68</f>
        <v>231</v>
      </c>
      <c r="C13" s="33">
        <f>'Schools in the six councils'!L69</f>
        <v>77</v>
      </c>
      <c r="D13" s="33">
        <f>'Schools in the six councils'!L70</f>
        <v>15</v>
      </c>
      <c r="E13" s="33">
        <f>SUM(B13:D13)</f>
        <v>323</v>
      </c>
      <c r="F13" s="33">
        <f>'Schools in the six councils'!L92</f>
        <v>2541</v>
      </c>
      <c r="G13" s="33">
        <f>'Schools in the six councils'!L93</f>
        <v>738</v>
      </c>
      <c r="H13" s="33">
        <f>'Schools in the six councils'!L94</f>
        <v>358</v>
      </c>
      <c r="I13" s="33">
        <f>SUM(F13:H13)</f>
        <v>3637</v>
      </c>
      <c r="J13" s="32" t="n">
        <v>42775</v>
      </c>
      <c r="K13" s="32" t="n">
        <v>11784</v>
      </c>
      <c r="L13" s="32" t="n">
        <v>8871</v>
      </c>
      <c r="M13" s="33">
        <f>SUM(J13:L13)</f>
        <v>63430</v>
      </c>
      <c r="O13" s="33">
        <f>H13-'Schools in the six councils'!L20</f>
        <v>338</v>
      </c>
    </row>
    <row r="14">
      <c r="A14" s="31" t="n">
        <v>2024</v>
      </c>
      <c r="B14" s="33">
        <f>'Schools in the six councils'!M68</f>
        <v>234</v>
      </c>
      <c r="C14" s="33">
        <f>'Schools in the six councils'!M69</f>
        <v>73</v>
      </c>
      <c r="D14" s="33">
        <f>'Schools in the six councils'!M70</f>
        <v>12</v>
      </c>
      <c r="E14" s="33">
        <f>SUM(B14:D14)</f>
        <v>319</v>
      </c>
      <c r="F14" s="33">
        <f>'Schools in the six councils'!M92</f>
        <v>2428</v>
      </c>
      <c r="G14" s="33">
        <f>'Schools in the six councils'!M93</f>
        <v>780</v>
      </c>
      <c r="H14" s="33">
        <f>'Schools in the six councils'!M94</f>
        <v>356</v>
      </c>
      <c r="I14" s="33">
        <f>SUM(F14:H14)</f>
        <v>3564</v>
      </c>
      <c r="J14" s="32" t="n">
        <v>41674</v>
      </c>
      <c r="K14" s="32" t="n">
        <v>12124</v>
      </c>
      <c r="L14" s="32" t="n">
        <v>9159</v>
      </c>
      <c r="M14" s="33">
        <f>SUM(J14:L14)</f>
        <v>62957</v>
      </c>
      <c r="O14" s="33">
        <f>H14-'Schools in the six councils'!M20</f>
        <v>327</v>
      </c>
    </row>
    <row r="15">
      <c r="A15" s="31" t="n">
        <v>2025</v>
      </c>
      <c r="B15" s="33">
        <f>'Schools in the six councils'!N68</f>
        <v>208</v>
      </c>
      <c r="C15" s="33">
        <f>'Schools in the six councils'!N69</f>
        <v>78</v>
      </c>
      <c r="D15" s="33">
        <f>'Schools in the six councils'!N70</f>
        <v>14</v>
      </c>
      <c r="E15" s="33">
        <f>SUM(B15:D15)</f>
        <v>300</v>
      </c>
      <c r="F15" s="33">
        <f>'Schools in the six councils'!N92</f>
        <v>2305</v>
      </c>
      <c r="G15" s="33">
        <f>'Schools in the six councils'!N93</f>
        <v>760</v>
      </c>
      <c r="H15" s="33">
        <f>'Schools in the six councils'!N94</f>
        <v>371</v>
      </c>
      <c r="I15" s="33">
        <f>SUM(F15:H15)</f>
        <v>3436</v>
      </c>
      <c r="J15" s="32" t="n">
        <v>40582</v>
      </c>
      <c r="K15" s="32" t="n">
        <v>11996</v>
      </c>
      <c r="L15" s="32" t="n">
        <v>9151</v>
      </c>
      <c r="M15" s="33">
        <f>SUM(J15:L15)</f>
        <v>61729</v>
      </c>
      <c r="O15" s="33">
        <f>H15-'Schools in the six councils'!N20</f>
        <v>329</v>
      </c>
      <c r="Q15" s="30" t="inlineStr">
        <is>
          <t>“It cannot explain most of the drop, which had started before it opened: government kindergarten across the six council areas was already down to 2,428 in 2024.”</t>
        </is>
      </c>
    </row>
    <row r="16"/>
    <row r="17">
      <c r="A17" s="34" t="inlineStr">
        <is>
          <t>Yearly average, 2016 to 2019</t>
        </is>
      </c>
      <c r="B17" s="44">
        <f>AVERAGE(B6:B9)</f>
        <v>307.75</v>
      </c>
      <c r="C17" s="44">
        <f>AVERAGE(C6:C9)</f>
        <v>81</v>
      </c>
      <c r="D17" s="44">
        <f>AVERAGE(D6:D9)</f>
        <v>15.75</v>
      </c>
      <c r="E17" s="44">
        <f>AVERAGE(E6:E9)</f>
        <v>404.5</v>
      </c>
      <c r="F17" s="44">
        <f>AVERAGE(F6:F9)</f>
        <v>3142.75</v>
      </c>
      <c r="G17" s="44">
        <f>AVERAGE(G6:G9)</f>
        <v>761</v>
      </c>
      <c r="H17" s="44">
        <f>AVERAGE(H6:H9)</f>
        <v>379.25</v>
      </c>
      <c r="I17" s="44">
        <f>AVERAGE(I6:I9)</f>
        <v>4283</v>
      </c>
      <c r="J17" s="44">
        <f>AVERAGE(J6:J9)</f>
        <v>46342.5</v>
      </c>
      <c r="K17" s="44">
        <f>AVERAGE(K6:K9)</f>
        <v>11574</v>
      </c>
      <c r="L17" s="44">
        <f>AVERAGE(L6:L9)</f>
        <v>7911.5</v>
      </c>
      <c r="M17" s="44">
        <f>AVERAGE(M6:M9)</f>
        <v>65828</v>
      </c>
    </row>
    <row r="18">
      <c r="A18" s="34" t="inlineStr">
        <is>
          <t>Yearly average, 2023 to 2025</t>
        </is>
      </c>
      <c r="B18" s="44">
        <f>AVERAGE(B13:B15)</f>
        <v>224.333333333333</v>
      </c>
      <c r="C18" s="44">
        <f>AVERAGE(C13:C15)</f>
        <v>76</v>
      </c>
      <c r="D18" s="44">
        <f>AVERAGE(D13:D15)</f>
        <v>13.6666666666667</v>
      </c>
      <c r="E18" s="44">
        <f>AVERAGE(E13:E15)</f>
        <v>314</v>
      </c>
      <c r="F18" s="44">
        <f>AVERAGE(F13:F15)</f>
        <v>2424.66666666667</v>
      </c>
      <c r="G18" s="44">
        <f>AVERAGE(G13:G15)</f>
        <v>759.333333333333</v>
      </c>
      <c r="H18" s="44">
        <f>AVERAGE(H13:H15)</f>
        <v>361.666666666667</v>
      </c>
      <c r="I18" s="44">
        <f>AVERAGE(I13:I15)</f>
        <v>3545.66666666667</v>
      </c>
      <c r="J18" s="44">
        <f>AVERAGE(J13:J15)</f>
        <v>41677</v>
      </c>
      <c r="K18" s="44">
        <f>AVERAGE(K13:K15)</f>
        <v>11968</v>
      </c>
      <c r="L18" s="44">
        <f>AVERAGE(L13:L15)</f>
        <v>9060.33333333333</v>
      </c>
      <c r="M18" s="44">
        <f>AVERAGE(M13:M15)</f>
        <v>62705.3333333333</v>
      </c>
      <c r="Q18" s="27" t="inlineStr">
        <is>
          <t>How the figures are worked out</t>
        </is>
      </c>
    </row>
    <row r="19">
      <c r="A19" s="34" t="inlineStr">
        <is>
          <t>Change in the yearly average</t>
        </is>
      </c>
      <c r="B19" s="45">
        <f>B18-B17</f>
        <v>-83.4166666666667</v>
      </c>
      <c r="C19" s="45">
        <f>C18-C17</f>
        <v>-5</v>
      </c>
      <c r="D19" s="45">
        <f>D18-D17</f>
        <v>-2.08333333333333</v>
      </c>
      <c r="E19" s="45">
        <f>E18-E17</f>
        <v>-90.5</v>
      </c>
      <c r="F19" s="45">
        <f>F18-F17</f>
        <v>-718.083333333334</v>
      </c>
      <c r="G19" s="45">
        <f>G18-G17</f>
        <v>-1.66666666666663</v>
      </c>
      <c r="H19" s="45">
        <f>H18-H17</f>
        <v>-17.5833333333333</v>
      </c>
      <c r="I19" s="45">
        <f>I18-I17</f>
        <v>-737.333333333334</v>
      </c>
      <c r="J19" s="45">
        <f>J18-J17</f>
        <v>-4665.5</v>
      </c>
      <c r="K19" s="45">
        <f>K18-K17</f>
        <v>394</v>
      </c>
      <c r="L19" s="45">
        <f>L18-L17</f>
        <v>1148.83333333333</v>
      </c>
      <c r="M19" s="45">
        <f>M18-M17</f>
        <v>-3122.66666666666</v>
      </c>
      <c r="Q19" s="3" t="inlineStr">
        <is>
          <t>Kindergarten is counted at the school's location, so it shows where children start school, not where they live. The six councils are Lane Cove, Willoughby, Hunters Hill, North Sydney, Mosman and Ryde.</t>
        </is>
      </c>
    </row>
    <row r="20" ht="28.5" customHeight="1">
      <c r="A20" s="34" t="inlineStr">
        <is>
          <t>Change in the yearly average (%)</t>
        </is>
      </c>
      <c r="B20" s="37">
        <f>B18/B17-1</f>
        <v>-0.271053344164636</v>
      </c>
      <c r="C20" s="37">
        <f>C18/C17-1</f>
        <v>-0.0617283950617285</v>
      </c>
      <c r="D20" s="37">
        <f>D18/D17-1</f>
        <v>-0.132275132275132</v>
      </c>
      <c r="E20" s="37">
        <f>E18/E17-1</f>
        <v>-0.223733003708282</v>
      </c>
      <c r="F20" s="37">
        <f>F18/F17-1</f>
        <v>-0.228488849998674</v>
      </c>
      <c r="G20" s="37">
        <f>G18/G17-1</f>
        <v>-0.00219010074463422</v>
      </c>
      <c r="H20" s="37">
        <f>H18/H17-1</f>
        <v>-0.046363436607339</v>
      </c>
      <c r="I20" s="37">
        <f>I18/I17-1</f>
        <v>-0.172153474978598</v>
      </c>
      <c r="J20" s="37">
        <f>J18/J17-1</f>
        <v>-0.100674327021632</v>
      </c>
      <c r="K20" s="37">
        <f>K18/K17-1</f>
        <v>0.0340418178676343</v>
      </c>
      <c r="L20" s="37">
        <f>L18/L17-1</f>
        <v>0.145210558469738</v>
      </c>
      <c r="M20" s="37">
        <f>M18/M17-1</f>
        <v>-0.0474367543699742</v>
      </c>
    </row>
    <row r="21">
      <c r="A21" s="34" t="inlineStr">
        <is>
          <t>Change, 2016 to 2025 (%)</t>
        </is>
      </c>
      <c r="B21" s="37">
        <f>B15/B6-1</f>
        <v>-0.251798561151079</v>
      </c>
      <c r="C21" s="37">
        <f>C15/C6-1</f>
        <v>-0.0487804878048781</v>
      </c>
      <c r="D21" s="37">
        <f>D15/D6-1</f>
        <v>-0.176470588235294</v>
      </c>
      <c r="E21" s="37">
        <f>E15/E6-1</f>
        <v>-0.204244031830239</v>
      </c>
      <c r="F21" s="37">
        <f>F15/F6-1</f>
        <v>-0.232945091514143</v>
      </c>
      <c r="G21" s="37">
        <f>G15/G6-1</f>
        <v>-0.0293742017879949</v>
      </c>
      <c r="H21" s="37">
        <f>H15/H6-1</f>
        <v>-0.00268817204301075</v>
      </c>
      <c r="I21" s="37">
        <f>I15/I6-1</f>
        <v>-0.174038461538462</v>
      </c>
      <c r="J21" s="37">
        <f>J15/J6-1</f>
        <v>-0.108146715601169</v>
      </c>
      <c r="K21" s="37">
        <f>K15/K6-1</f>
        <v>0.0374470293176512</v>
      </c>
      <c r="L21" s="37">
        <f>L15/L6-1</f>
        <v>0.198559266535691</v>
      </c>
      <c r="M21" s="37">
        <f>M15/M6-1</f>
        <v>-0.0459343750482991</v>
      </c>
      <c r="O21" s="37">
        <f>O15/O6-1</f>
        <v>-0.0835654596100278</v>
      </c>
    </row>
    <row r="22"/>
    <row r="23">
      <c r="Q23" s="3" t="inlineStr">
        <is>
          <t>Lane Cove and six-council figures are formulas on the totals of the Schools in the six councils sheet, which lists every school with its kindergarten.</t>
        </is>
      </c>
    </row>
    <row r="24">
      <c r="A24" s="34" t="inlineStr">
        <is>
          <t>International Chinese School, St Leonards (Willoughby council area): kindergarten in every year ACARA reports for it</t>
        </is>
      </c>
      <c r="B24" s="46" t="n"/>
      <c r="C24" s="46" t="n"/>
      <c r="D24" s="46" t="n"/>
      <c r="E24" s="46" t="n"/>
      <c r="F24" s="46" t="n"/>
      <c r="G24" s="46" t="n"/>
      <c r="H24" s="46" t="n"/>
      <c r="I24" s="46" t="n"/>
      <c r="J24" s="47" t="n"/>
    </row>
    <row r="25">
      <c r="A25" s="26" t="inlineStr">
        <is>
          <t>Year</t>
        </is>
      </c>
      <c r="B25" s="48" t="n">
        <v>2015</v>
      </c>
      <c r="C25" s="48" t="n">
        <v>2016</v>
      </c>
      <c r="D25" s="48" t="n">
        <v>2017</v>
      </c>
      <c r="E25" s="48" t="n">
        <v>2018</v>
      </c>
      <c r="F25" s="48" t="n">
        <v>2019</v>
      </c>
      <c r="G25" s="48" t="n">
        <v>2020</v>
      </c>
      <c r="H25" s="48" t="n">
        <v>2021</v>
      </c>
      <c r="I25" s="48" t="n">
        <v>2022</v>
      </c>
      <c r="J25" s="48" t="n">
        <v>2023</v>
      </c>
      <c r="K25" s="48" t="n">
        <v>2024</v>
      </c>
      <c r="L25" s="48" t="n">
        <v>2025</v>
      </c>
    </row>
    <row r="26">
      <c r="A26" s="34" t="inlineStr">
        <is>
          <t>Kindergarten</t>
        </is>
      </c>
      <c r="B26" s="32" t="n">
        <v>10</v>
      </c>
      <c r="C26" s="32" t="n">
        <v>13</v>
      </c>
      <c r="D26" s="32" t="n">
        <v>11</v>
      </c>
      <c r="E26" s="32" t="n">
        <v>12</v>
      </c>
      <c r="F26" s="32" t="n">
        <v>12</v>
      </c>
      <c r="G26" s="32" t="n">
        <v>26</v>
      </c>
      <c r="H26" s="32" t="n">
        <v>17</v>
      </c>
      <c r="I26" s="32" t="n">
        <v>24</v>
      </c>
      <c r="J26" s="32" t="n">
        <v>20</v>
      </c>
      <c r="K26" s="32" t="n">
        <v>29</v>
      </c>
      <c r="L26" s="32" t="n">
        <v>42</v>
      </c>
      <c r="Q26" s="3" t="inlineStr">
        <is>
          <t>The article's span is 2016 to 2025 (the 'Change, 2016 to 2025' row). Government kindergarten across the six councils peaked in 2018 inside that span, so a 2018 start would make its fall look larger.</t>
        </is>
      </c>
    </row>
    <row r="27">
      <c r="A27" s="34" t="inlineStr">
        <is>
          <t>Largest intake</t>
        </is>
      </c>
      <c r="B27" s="33">
        <f>MAX(B26:L26)</f>
        <v>42</v>
      </c>
    </row>
    <row r="28">
      <c r="A28" s="34" t="inlineStr">
        <is>
          <t>Year of that intake</t>
        </is>
      </c>
      <c r="B28" s="40">
        <f>INDEX(B25:L25,MATCH(B27,B26:L26,0))</f>
        <v>2025</v>
      </c>
    </row>
    <row r="29"/>
    <row r="30">
      <c r="Q30" s="3" t="inlineStr">
        <is>
          <t>Column O takes the International Chinese School (ACARA 53005), just outside Lane Cove council area at St Leonards, out of the six councils' independent kindergarten. Its own kindergarten, 2015 to 2025, is in the block below the averages.</t>
        </is>
      </c>
    </row>
    <row r="31"/>
    <row r="32"/>
    <row r="33"/>
    <row r="34">
      <c r="Q34" s="4" t="inlineStr">
        <is>
          <t>Greater Sydney is the ABS Greater Sydney area. Its figures are our sums of ACARA's school figures for 1,492 schools as ACARA reports them (40 of them placed in the area by postcode); those school rows are not reproduced in this workbook. Reddam House is left out of the Greater Sydney figures in every year, 2016 to 2019 included, because ACARA has no Reddam House enrolment figures from 2020 to 2025.</t>
        </is>
      </c>
    </row>
    <row r="35"/>
    <row r="36"/>
    <row r="37"/>
    <row r="38"/>
    <row r="39"/>
    <row r="40">
      <c r="Q40" s="4" t="inlineStr">
        <is>
          <t>Reddam House North Shore opened for kindergarten to Year 10 at the start of 2025, as Education Matters reported. Reddam House North Shore, an independent school in North Sydney, is not in the six-council figures in any year. ACARA lists it as a sub-campus of Reddam House, whose head campus is in Woollahra, and reports it under the head campus's school ID. From 2016 to 2019, ACARA's only Reddam House enrolment figures are the head campus's, located in Woollahra and so outside the six councils; after 2019 ACARA has no Reddam House enrolment figures at all. Any kindergarten at the North Shore campus therefore cannot be seen in these figures. Government kindergarten across the six councils had already fallen to its 2024 figure (above) before the school opened.</t>
        </is>
      </c>
    </row>
    <row r="41"/>
    <row r="42"/>
    <row r="43"/>
    <row r="44"/>
    <row r="45"/>
    <row r="46"/>
    <row r="47"/>
    <row r="48"/>
    <row r="49"/>
    <row r="50">
      <c r="Q50" s="27" t="inlineStr">
        <is>
          <t>Sources</t>
        </is>
      </c>
    </row>
    <row r="51">
      <c r="Q51" s="42" t="inlineStr">
        <is>
          <t>ACARA Data Access Program: Enrolments by Grade 2008-2025 and School Locations 2025</t>
        </is>
      </c>
    </row>
    <row r="52">
      <c r="Q52" s="42" t="inlineStr">
        <is>
          <t>Education Matters: 'Reddam House Sydney: where excellence endures' (Reddam House North Shore opening)</t>
        </is>
      </c>
    </row>
  </sheetData>
  <mergeCells count="14">
    <mergeCell ref="Q40:Q48"/>
    <mergeCell ref="Q8:Q10"/>
    <mergeCell ref="Q5:Q6"/>
    <mergeCell ref="B4:E4"/>
    <mergeCell ref="Q26:Q28"/>
    <mergeCell ref="F4:I4"/>
    <mergeCell ref="Q30:Q32"/>
    <mergeCell ref="J4:M4"/>
    <mergeCell ref="Q34:Q38"/>
    <mergeCell ref="Q12:Q13"/>
    <mergeCell ref="Q19:Q21"/>
    <mergeCell ref="A24:J24"/>
    <mergeCell ref="Q15:Q16"/>
    <mergeCell ref="Q23:Q24"/>
  </mergeCells>
  <hyperlinks>
    <hyperlink xmlns:r="http://schemas.openxmlformats.org/officeDocument/2006/relationships" ref="A2" r:id="rId1"/>
    <hyperlink xmlns:r="http://schemas.openxmlformats.org/officeDocument/2006/relationships" ref="Q34" r:id="rId2"/>
    <hyperlink xmlns:r="http://schemas.openxmlformats.org/officeDocument/2006/relationships" ref="Q40" r:id="rId3"/>
    <hyperlink xmlns:r="http://schemas.openxmlformats.org/officeDocument/2006/relationships" ref="Q51" r:id="rId4"/>
    <hyperlink xmlns:r="http://schemas.openxmlformats.org/officeDocument/2006/relationships" ref="Q52" r:id="rId5"/>
  </hyperlinks>
  <printOptions gridLines="0"/>
  <pageMargins left="0.75" right="0.75" top="1" bottom="1" header="0.5" footer="0.5"/>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N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3" customWidth="1" min="13" max="13"/>
    <col width="95" customWidth="1" min="14" max="14"/>
  </cols>
  <sheetData>
    <row r="1">
      <c r="A1" s="7" t="inlineStr">
        <is>
          <t>Catholic and independent kindergarten against births, by council</t>
        </is>
      </c>
    </row>
    <row r="2">
      <c r="A2" s="8" t="inlineStr">
        <is>
          <t>Yearly averages: kindergarten 2016 to 2019 and 2023 to 2025, against births 2011 to 2014 and 2018 to 2020. Formulas where the yearly figures are in this workbook (Lane Cove, and the six councils' kindergarten); the rest are in yellow.</t>
        </is>
      </c>
    </row>
    <row r="3"/>
    <row r="4" ht="70" customHeight="1">
      <c r="A4" s="26" t="inlineStr">
        <is>
          <t>Council</t>
        </is>
      </c>
      <c r="B4" s="26" t="inlineStr">
        <is>
          <t>Group</t>
        </is>
      </c>
      <c r="C4" s="26" t="inlineStr">
        <is>
          <t>Births, yearly average 2011 to 2014 (our arithmetic)</t>
        </is>
      </c>
      <c r="D4" s="26" t="inlineStr">
        <is>
          <t>Births, yearly average 2018 to 2020 (our arithmetic)</t>
        </is>
      </c>
      <c r="E4" s="26" t="inlineStr">
        <is>
          <t>Catholic kindergarten, average 2016 to 2019 (our arithmetic)</t>
        </is>
      </c>
      <c r="F4" s="26" t="inlineStr">
        <is>
          <t>Catholic kindergarten, average 2023 to 2025 (our arithmetic)</t>
        </is>
      </c>
      <c r="G4" s="26" t="inlineStr">
        <is>
          <t>Catholic: expected from births</t>
        </is>
      </c>
      <c r="H4" s="26" t="inlineStr">
        <is>
          <t>Catholic: actual minus expected</t>
        </is>
      </c>
      <c r="I4" s="26" t="inlineStr">
        <is>
          <t>Independent kindergarten, average 2016 to 2019 (our arithmetic)</t>
        </is>
      </c>
      <c r="J4" s="26" t="inlineStr">
        <is>
          <t>Independent kindergarten, average 2023 to 2025 (our arithmetic)</t>
        </is>
      </c>
      <c r="K4" s="26" t="inlineStr">
        <is>
          <t>Independent: expected from births</t>
        </is>
      </c>
      <c r="L4" s="26" t="inlineStr">
        <is>
          <t>Independent: actual minus expected</t>
        </is>
      </c>
      <c r="N4" s="27" t="inlineStr">
        <is>
          <t>How the figures are worked out</t>
        </is>
      </c>
    </row>
    <row r="5">
      <c r="A5" s="34" t="inlineStr">
        <is>
          <t>Lane Cove</t>
        </is>
      </c>
      <c r="B5" s="10" t="inlineStr">
        <is>
          <t>Six councils</t>
        </is>
      </c>
      <c r="C5" s="44">
        <f>AVERAGE('Births and under-fives'!B5:B8)</f>
        <v>457.75</v>
      </c>
      <c r="D5" s="44">
        <f>AVERAGE('Births and under-fives'!B12:B14)</f>
        <v>565</v>
      </c>
      <c r="E5" s="44">
        <f>AVERAGE('Sector kindergarten'!C6:C9)</f>
        <v>81</v>
      </c>
      <c r="F5" s="44">
        <f>AVERAGE('Sector kindergarten'!C13:C15)</f>
        <v>76</v>
      </c>
      <c r="G5" s="44">
        <f>E5*D5/C5</f>
        <v>99.9781540141999</v>
      </c>
      <c r="H5" s="45">
        <f>F5-G5</f>
        <v>-23.9781540141999</v>
      </c>
      <c r="I5" s="44">
        <f>AVERAGE('Sector kindergarten'!D6:D9)</f>
        <v>15.75</v>
      </c>
      <c r="J5" s="44">
        <f>AVERAGE('Sector kindergarten'!D13:D15)</f>
        <v>13.6666666666667</v>
      </c>
      <c r="K5" s="44">
        <f>I5*D5/C5</f>
        <v>19.4401966138722</v>
      </c>
      <c r="L5" s="45">
        <f>J5-K5</f>
        <v>-5.77352994720553</v>
      </c>
      <c r="N5" s="3" t="inlineStr">
        <is>
          <t>Six councils: Lane Cove and five nearby councils (Willoughby, Hunters Hill, North Sydney, Mosman and Ryde). Further afield: Hornsby and Ku-ring-gai.</t>
        </is>
      </c>
    </row>
    <row r="6">
      <c r="A6" s="34" t="inlineStr">
        <is>
          <t>Willoughby</t>
        </is>
      </c>
      <c r="B6" s="10" t="inlineStr">
        <is>
          <t>Six councils</t>
        </is>
      </c>
      <c r="C6" s="52" t="n">
        <v>958.5</v>
      </c>
      <c r="D6" s="52" t="n">
        <v>818</v>
      </c>
      <c r="E6" s="44">
        <f>AVERAGE('Schools in the six councils'!E73:H73)</f>
        <v>139.25</v>
      </c>
      <c r="F6" s="44">
        <f>AVERAGE('Schools in the six councils'!L73:N73)</f>
        <v>124</v>
      </c>
      <c r="G6" s="44">
        <f>E6*D6/C6</f>
        <v>118.838288993219</v>
      </c>
      <c r="H6" s="45">
        <f>F6-G6</f>
        <v>5.16171100678143</v>
      </c>
      <c r="I6" s="44">
        <f>AVERAGE('Schools in the six councils'!E74:H74)</f>
        <v>42.25</v>
      </c>
      <c r="J6" s="44">
        <f>AVERAGE('Schools in the six councils'!L74:N74)</f>
        <v>47.6666666666667</v>
      </c>
      <c r="K6" s="44">
        <f>I6*D6/C6</f>
        <v>36.056859676578</v>
      </c>
      <c r="L6" s="45">
        <f>J6-K6</f>
        <v>11.6098069900887</v>
      </c>
    </row>
    <row r="7">
      <c r="A7" s="34" t="inlineStr">
        <is>
          <t>Hunters Hill</t>
        </is>
      </c>
      <c r="B7" s="10" t="inlineStr">
        <is>
          <t>Six councils</t>
        </is>
      </c>
      <c r="C7" s="52" t="n">
        <v>135.8</v>
      </c>
      <c r="D7" s="52" t="n">
        <v>108.3</v>
      </c>
      <c r="E7" s="44">
        <f>AVERAGE('Schools in the six councils'!E77:H77)</f>
        <v>59.25</v>
      </c>
      <c r="F7" s="44">
        <f>AVERAGE('Schools in the six councils'!L77:N77)</f>
        <v>57.3333333333333</v>
      </c>
      <c r="G7" s="44">
        <f>E7*D7/C7</f>
        <v>47.2516568483063</v>
      </c>
      <c r="H7" s="45">
        <f>F7-G7</f>
        <v>10.081676485027</v>
      </c>
      <c r="I7" s="44">
        <f>AVERAGE('Schools in the six councils'!E78:H78)</f>
        <v>0</v>
      </c>
      <c r="J7" s="44">
        <f>AVERAGE('Schools in the six councils'!L78:N78)</f>
        <v>0</v>
      </c>
      <c r="K7" s="44">
        <f>I7*D7/C7</f>
        <v>0</v>
      </c>
      <c r="L7" s="45">
        <f>J7-K7</f>
        <v>0</v>
      </c>
    </row>
    <row r="8">
      <c r="A8" s="34" t="inlineStr">
        <is>
          <t>North Sydney</t>
        </is>
      </c>
      <c r="B8" s="10" t="inlineStr">
        <is>
          <t>Six councils</t>
        </is>
      </c>
      <c r="C8" s="52" t="n">
        <v>1089.8</v>
      </c>
      <c r="D8" s="52" t="n">
        <v>1047</v>
      </c>
      <c r="E8" s="44">
        <f>AVERAGE('Schools in the six councils'!E81:H81)</f>
        <v>66.75</v>
      </c>
      <c r="F8" s="44">
        <f>AVERAGE('Schools in the six councils'!L81:N81)</f>
        <v>67.3333333333333</v>
      </c>
      <c r="G8" s="44">
        <f>E8*D8/C8</f>
        <v>64.1285098183153</v>
      </c>
      <c r="H8" s="45">
        <f>F8-G8</f>
        <v>3.20482351501803</v>
      </c>
      <c r="I8" s="44">
        <f>AVERAGE('Schools in the six councils'!E82:H82)</f>
        <v>183.5</v>
      </c>
      <c r="J8" s="44">
        <f>AVERAGE('Schools in the six councils'!L82:N82)</f>
        <v>178.333333333333</v>
      </c>
      <c r="K8" s="44">
        <f>I8*D8/C8</f>
        <v>176.293356579189</v>
      </c>
      <c r="L8" s="45">
        <f>J8-K8</f>
        <v>2.0399767541445</v>
      </c>
      <c r="N8" s="3" t="inlineStr">
        <is>
          <t>Expected = the 2016 to 2019 average kindergarten, scaled by the change in births: multiplied by average births registered in 2018 to 2020 and divided by average births registered in 2011 to 2014. Actual minus expected is our arithmetic, not an official measure.</t>
        </is>
      </c>
    </row>
    <row r="9">
      <c r="A9" s="34" t="inlineStr">
        <is>
          <t>Mosman</t>
        </is>
      </c>
      <c r="B9" s="10" t="inlineStr">
        <is>
          <t>Six councils</t>
        </is>
      </c>
      <c r="C9" s="52" t="n">
        <v>348.5</v>
      </c>
      <c r="D9" s="52" t="n">
        <v>317.7</v>
      </c>
      <c r="E9" s="44">
        <f>AVERAGE('Schools in the six councils'!E85:H85)</f>
        <v>75.5</v>
      </c>
      <c r="F9" s="44">
        <f>AVERAGE('Schools in the six councils'!L85:N85)</f>
        <v>73.6666666666667</v>
      </c>
      <c r="G9" s="44">
        <f>E9*D9/C9</f>
        <v>68.8274031563845</v>
      </c>
      <c r="H9" s="45">
        <f>F9-G9</f>
        <v>4.83926351028217</v>
      </c>
      <c r="I9" s="44">
        <f>AVERAGE('Schools in the six councils'!E86:H86)</f>
        <v>70</v>
      </c>
      <c r="J9" s="44">
        <f>AVERAGE('Schools in the six councils'!L86:N86)</f>
        <v>43.3333333333333</v>
      </c>
      <c r="K9" s="44">
        <f>I9*D9/C9</f>
        <v>63.8134863701578</v>
      </c>
      <c r="L9" s="45">
        <f>J9-K9</f>
        <v>-20.4801530368245</v>
      </c>
    </row>
    <row r="10">
      <c r="A10" s="34" t="inlineStr">
        <is>
          <t>Ryde</t>
        </is>
      </c>
      <c r="B10" s="10" t="inlineStr">
        <is>
          <t>Six councils</t>
        </is>
      </c>
      <c r="C10" s="52" t="n">
        <v>1470.5</v>
      </c>
      <c r="D10" s="52" t="n">
        <v>1562</v>
      </c>
      <c r="E10" s="44">
        <f>AVERAGE('Schools in the six councils'!E89:H89)</f>
        <v>339.25</v>
      </c>
      <c r="F10" s="44">
        <f>AVERAGE('Schools in the six councils'!L89:N89)</f>
        <v>361</v>
      </c>
      <c r="G10" s="44">
        <f>E10*D10/C10</f>
        <v>360.359401564094</v>
      </c>
      <c r="H10" s="45">
        <f>F10-G10</f>
        <v>0.640598435906156</v>
      </c>
      <c r="I10" s="44">
        <f>AVERAGE('Schools in the six councils'!E90:H90)</f>
        <v>67.75</v>
      </c>
      <c r="J10" s="44">
        <f>AVERAGE('Schools in the six councils'!L90:N90)</f>
        <v>78.6666666666667</v>
      </c>
      <c r="K10" s="44">
        <f>I10*D10/C10</f>
        <v>71.9656579394764</v>
      </c>
      <c r="L10" s="45">
        <f>J10-K10</f>
        <v>6.7010087271903</v>
      </c>
    </row>
    <row r="11">
      <c r="A11" s="34" t="inlineStr">
        <is>
          <t>Hornsby</t>
        </is>
      </c>
      <c r="B11" s="10" t="inlineStr">
        <is>
          <t>Further afield</t>
        </is>
      </c>
      <c r="C11" s="52" t="n">
        <v>1575</v>
      </c>
      <c r="D11" s="52" t="n">
        <v>1425.3</v>
      </c>
      <c r="E11" s="52" t="n">
        <v>156</v>
      </c>
      <c r="F11" s="52" t="n">
        <v>162.7</v>
      </c>
      <c r="G11" s="44">
        <f>E11*D11/C11</f>
        <v>141.172571428571</v>
      </c>
      <c r="H11" s="45">
        <f>F11-G11</f>
        <v>21.5274285714286</v>
      </c>
      <c r="I11" s="52" t="n">
        <v>241</v>
      </c>
      <c r="J11" s="52" t="n">
        <v>303.7</v>
      </c>
      <c r="K11" s="44">
        <f>I11*D11/C11</f>
        <v>218.093523809524</v>
      </c>
      <c r="L11" s="45">
        <f>J11-K11</f>
        <v>85.6064761904762</v>
      </c>
    </row>
    <row r="12">
      <c r="A12" s="34" t="inlineStr">
        <is>
          <t>Ku-ring-gai</t>
        </is>
      </c>
      <c r="B12" s="10" t="inlineStr">
        <is>
          <t>Further afield</t>
        </is>
      </c>
      <c r="C12" s="52" t="n">
        <v>892</v>
      </c>
      <c r="D12" s="52" t="n">
        <v>923</v>
      </c>
      <c r="E12" s="52" t="n">
        <v>176.5</v>
      </c>
      <c r="F12" s="52" t="n">
        <v>176</v>
      </c>
      <c r="G12" s="44">
        <f>E12*D12/C12</f>
        <v>182.633968609865</v>
      </c>
      <c r="H12" s="45">
        <f>F12-G12</f>
        <v>-6.63396860986546</v>
      </c>
      <c r="I12" s="52" t="n">
        <v>367.2</v>
      </c>
      <c r="J12" s="52" t="n">
        <v>401</v>
      </c>
      <c r="K12" s="44">
        <f>I12*D12/C12</f>
        <v>379.961434977578</v>
      </c>
      <c r="L12" s="45">
        <f>J12-K12</f>
        <v>21.0385650224216</v>
      </c>
      <c r="N12" s="3" t="inlineStr">
        <is>
          <t>Lane Cove's averages (row 5) are formulas on its yearly births on the Births and under-fives sheet and its yearly Catholic and independent kindergarten on the Sector kindergarten sheet.</t>
        </is>
      </c>
    </row>
    <row r="13"/>
    <row r="14">
      <c r="A14" s="34" t="inlineStr">
        <is>
          <t>Hornsby and Ku-ring-gai together: independent, actual minus expected</t>
        </is>
      </c>
      <c r="B14" s="46" t="n"/>
      <c r="C14" s="46" t="n"/>
      <c r="D14" s="46" t="n"/>
      <c r="E14" s="46" t="n"/>
      <c r="F14" s="46" t="n"/>
      <c r="G14" s="46" t="n"/>
      <c r="H14" s="46" t="n"/>
      <c r="I14" s="46" t="n"/>
      <c r="J14" s="46" t="n"/>
      <c r="K14" s="47" t="n"/>
      <c r="L14" s="45">
        <f>L11+L12</f>
        <v>106.645041212898</v>
      </c>
    </row>
    <row r="15"/>
    <row r="16">
      <c r="N16" s="3" t="inlineStr">
        <is>
          <t>The other five councils' Catholic and independent kindergarten averages are formulas on their yearly council and sector totals on the Schools in the six councils sheet; a year with no kindergarten counts as zero.</t>
        </is>
      </c>
    </row>
    <row r="17"/>
    <row r="18"/>
    <row r="19"/>
    <row r="20">
      <c r="N20" s="4" t="inlineStr">
        <is>
          <t>The yellow cells are our yearly averages of figures not reproduced in this workbook: births for every council but Lane Cove, and Hornsby's and Ku-ring-gai's kindergarten. Births: ABS Births, Australia 2024 (33010DC03), Table 1, births registered to residents of each council area in 2011 to 2014 and 2018 to 2020. Kindergarten: ACARA 'One year before Year 1' headcount at every school located in each council area, by sector, in 2016 to 2019 and 2023 to 2025; special schools are left out, and a year with no kindergarten counts as zero.</t>
        </is>
      </c>
    </row>
    <row r="21"/>
    <row r="22"/>
    <row r="23"/>
    <row r="24"/>
    <row r="25"/>
    <row r="26"/>
    <row r="27">
      <c r="N27" s="3" t="inlineStr">
        <is>
          <t>The yellow averages are rounded to one decimal place, so a result can differ from a full-precision calculation in the first decimal place.</t>
        </is>
      </c>
    </row>
    <row r="28"/>
    <row r="29"/>
    <row r="30">
      <c r="N30" s="3" t="inlineStr">
        <is>
          <t>Kindergarten is counted where the school is; births by the mother's council area of residence and year of registration.</t>
        </is>
      </c>
    </row>
    <row r="31"/>
    <row r="32"/>
    <row r="33">
      <c r="N33" s="27" t="inlineStr">
        <is>
          <t>Sources</t>
        </is>
      </c>
    </row>
    <row r="34">
      <c r="N34" s="42" t="inlineStr">
        <is>
          <t>ACARA Data Access Program: Enrolments by Grade 2008-2025 and School Locations 2025</t>
        </is>
      </c>
    </row>
    <row r="35">
      <c r="N35" s="42" t="inlineStr">
        <is>
          <t>ABS Births, Australia 2024: births and fertility by local government area (33010DC03)</t>
        </is>
      </c>
    </row>
  </sheetData>
  <mergeCells count="8">
    <mergeCell ref="N27:N28"/>
    <mergeCell ref="N5:N6"/>
    <mergeCell ref="N12:N14"/>
    <mergeCell ref="N30:N31"/>
    <mergeCell ref="N20:N25"/>
    <mergeCell ref="N8:N10"/>
    <mergeCell ref="N16:N18"/>
    <mergeCell ref="A14:K14"/>
  </mergeCells>
  <hyperlinks>
    <hyperlink xmlns:r="http://schemas.openxmlformats.org/officeDocument/2006/relationships" ref="N20" r:id="rId1"/>
    <hyperlink xmlns:r="http://schemas.openxmlformats.org/officeDocument/2006/relationships" ref="N34" r:id="rId2"/>
    <hyperlink xmlns:r="http://schemas.openxmlformats.org/officeDocument/2006/relationships" ref="N35" r:id="rId3"/>
  </hyperlinks>
  <printOptions gridLines="0"/>
  <pageMargins left="0.75" right="0.75" top="1" bottom="1" header="0.5" footer="0.5"/>
  <pageSetup orientation="landscape" paperSize="9" fitToHeight="0" fitToWidth="1"/>
</worksheet>
</file>

<file path=xl/worksheets/sheet13.xml><?xml version="1.0" encoding="utf-8"?>
<worksheet xmlns="http://schemas.openxmlformats.org/spreadsheetml/2006/main">
  <sheetPr>
    <outlinePr summaryBelow="1" summaryRight="1"/>
    <pageSetUpPr fitToPage="1"/>
  </sheetPr>
  <dimension ref="A1:J3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6" customWidth="1" min="3" max="3"/>
    <col width="12" customWidth="1" min="4" max="4"/>
    <col width="11" customWidth="1" min="5" max="5"/>
    <col width="14" customWidth="1" min="6" max="6"/>
    <col width="12" customWidth="1" min="7" max="7"/>
    <col width="14" customWidth="1" min="8" max="8"/>
    <col width="3" customWidth="1" min="9" max="9"/>
    <col width="95" customWidth="1" min="10" max="10"/>
  </cols>
  <sheetData>
    <row r="1">
      <c r="A1" s="7" t="inlineStr">
        <is>
          <t>Primary students living in each council area, by school sector</t>
        </is>
      </c>
    </row>
    <row r="2">
      <c r="A2" s="25" t="inlineStr">
        <is>
          <t>ABS Census 2011, 2016 and 2021, by place of usual residence (Time Series Profile).</t>
        </is>
      </c>
    </row>
    <row r="3"/>
    <row r="4" ht="42" customHeight="1">
      <c r="A4" s="26" t="inlineStr">
        <is>
          <t>Council</t>
        </is>
      </c>
      <c r="B4" s="26" t="inlineStr">
        <is>
          <t>Census year</t>
        </is>
      </c>
      <c r="C4" s="26" t="inlineStr">
        <is>
          <t>Primary students living in the area</t>
        </is>
      </c>
      <c r="D4" s="26" t="inlineStr">
        <is>
          <t>Government</t>
        </is>
      </c>
      <c r="E4" s="26" t="inlineStr">
        <is>
          <t>Catholic</t>
        </is>
      </c>
      <c r="F4" s="26" t="inlineStr">
        <is>
          <t>Other non-government</t>
        </is>
      </c>
      <c r="G4" s="26" t="inlineStr">
        <is>
          <t>Government share</t>
        </is>
      </c>
      <c r="H4" s="26" t="inlineStr">
        <is>
          <t>Non-government share</t>
        </is>
      </c>
      <c r="J4" s="27" t="inlineStr">
        <is>
          <t>In the article</t>
        </is>
      </c>
    </row>
    <row r="5">
      <c r="A5" s="34" t="inlineStr">
        <is>
          <t>Lane Cove</t>
        </is>
      </c>
      <c r="B5" s="49" t="n">
        <v>2011</v>
      </c>
      <c r="C5" s="32" t="n">
        <v>2574</v>
      </c>
      <c r="D5" s="32" t="n">
        <v>1640</v>
      </c>
      <c r="E5" s="32" t="n">
        <v>630</v>
      </c>
      <c r="F5" s="32" t="n">
        <v>301</v>
      </c>
      <c r="G5" s="53">
        <f>D5/C5</f>
        <v>0.637140637140637</v>
      </c>
      <c r="H5" s="53">
        <f>(E5+F5)/C5</f>
        <v>0.361693861693862</v>
      </c>
      <c r="J5" s="30" t="inlineStr">
        <is>
          <t>“A move to private schools further away since then would not show up until the 2026 Census results are published.”</t>
        </is>
      </c>
    </row>
    <row r="6">
      <c r="A6" s="34" t="inlineStr">
        <is>
          <t>Lane Cove</t>
        </is>
      </c>
      <c r="B6" s="49" t="n">
        <v>2016</v>
      </c>
      <c r="C6" s="32" t="n">
        <v>2835</v>
      </c>
      <c r="D6" s="32" t="n">
        <v>1850</v>
      </c>
      <c r="E6" s="32" t="n">
        <v>615</v>
      </c>
      <c r="F6" s="32" t="n">
        <v>372</v>
      </c>
      <c r="G6" s="53">
        <f>D6/C6</f>
        <v>0.652557319223986</v>
      </c>
      <c r="H6" s="53">
        <f>(E6+F6)/C6</f>
        <v>0.348148148148148</v>
      </c>
    </row>
    <row r="7">
      <c r="A7" s="34" t="inlineStr">
        <is>
          <t>Lane Cove</t>
        </is>
      </c>
      <c r="B7" s="49" t="n">
        <v>2021</v>
      </c>
      <c r="C7" s="32" t="n">
        <v>3238</v>
      </c>
      <c r="D7" s="32" t="n">
        <v>2185</v>
      </c>
      <c r="E7" s="32" t="n">
        <v>682</v>
      </c>
      <c r="F7" s="32" t="n">
        <v>365</v>
      </c>
      <c r="G7" s="53">
        <f>D7/C7</f>
        <v>0.674799258801729</v>
      </c>
      <c r="H7" s="53">
        <f>(E7+F7)/C7</f>
        <v>0.323347745521927</v>
      </c>
    </row>
    <row r="8">
      <c r="A8" s="34" t="inlineStr">
        <is>
          <t>Willoughby</t>
        </is>
      </c>
      <c r="B8" s="49" t="n">
        <v>2011</v>
      </c>
      <c r="C8" s="32" t="n">
        <v>5410</v>
      </c>
      <c r="D8" s="32" t="n">
        <v>3649</v>
      </c>
      <c r="E8" s="32" t="n">
        <v>937</v>
      </c>
      <c r="F8" s="32" t="n">
        <v>827</v>
      </c>
      <c r="G8" s="53">
        <f>D8/C8</f>
        <v>0.67449168207024</v>
      </c>
      <c r="H8" s="53">
        <f>(E8+F8)/C8</f>
        <v>0.326062846580407</v>
      </c>
      <c r="J8" s="30" t="inlineStr">
        <is>
          <t>“The 2021 Census counted the primary school students living in Lane Cove by the type of school they attend. About two in three were at government schools, a higher share than in 2011.”</t>
        </is>
      </c>
    </row>
    <row r="9">
      <c r="A9" s="34" t="inlineStr">
        <is>
          <t>Willoughby</t>
        </is>
      </c>
      <c r="B9" s="49" t="n">
        <v>2016</v>
      </c>
      <c r="C9" s="32" t="n">
        <v>6684</v>
      </c>
      <c r="D9" s="32" t="n">
        <v>4780</v>
      </c>
      <c r="E9" s="32" t="n">
        <v>990</v>
      </c>
      <c r="F9" s="32" t="n">
        <v>906</v>
      </c>
      <c r="G9" s="53">
        <f>D9/C9</f>
        <v>0.715140634350688</v>
      </c>
      <c r="H9" s="53">
        <f>(E9+F9)/C9</f>
        <v>0.283662477558348</v>
      </c>
    </row>
    <row r="10">
      <c r="A10" s="34" t="inlineStr">
        <is>
          <t>Willoughby</t>
        </is>
      </c>
      <c r="B10" s="49" t="n">
        <v>2021</v>
      </c>
      <c r="C10" s="32" t="n">
        <v>7005</v>
      </c>
      <c r="D10" s="32" t="n">
        <v>4951</v>
      </c>
      <c r="E10" s="32" t="n">
        <v>1026</v>
      </c>
      <c r="F10" s="32" t="n">
        <v>1014</v>
      </c>
      <c r="G10" s="53">
        <f>D10/C10</f>
        <v>0.706780870806567</v>
      </c>
      <c r="H10" s="53">
        <f>(E10+F10)/C10</f>
        <v>0.291220556745182</v>
      </c>
    </row>
    <row r="11">
      <c r="A11" s="34" t="inlineStr">
        <is>
          <t>Hunters Hill</t>
        </is>
      </c>
      <c r="B11" s="49" t="n">
        <v>2011</v>
      </c>
      <c r="C11" s="32" t="n">
        <v>1057</v>
      </c>
      <c r="D11" s="32" t="n">
        <v>558</v>
      </c>
      <c r="E11" s="32" t="n">
        <v>318</v>
      </c>
      <c r="F11" s="32" t="n">
        <v>177</v>
      </c>
      <c r="G11" s="53">
        <f>D11/C11</f>
        <v>0.527909176915799</v>
      </c>
      <c r="H11" s="53">
        <f>(E11+F11)/C11</f>
        <v>0.468306527909177</v>
      </c>
      <c r="J11" s="27" t="inlineStr">
        <is>
          <t>How the figures are worked out</t>
        </is>
      </c>
    </row>
    <row r="12">
      <c r="A12" s="34" t="inlineStr">
        <is>
          <t>Hunters Hill</t>
        </is>
      </c>
      <c r="B12" s="49" t="n">
        <v>2016</v>
      </c>
      <c r="C12" s="32" t="n">
        <v>1232</v>
      </c>
      <c r="D12" s="32" t="n">
        <v>669</v>
      </c>
      <c r="E12" s="32" t="n">
        <v>385</v>
      </c>
      <c r="F12" s="32" t="n">
        <v>180</v>
      </c>
      <c r="G12" s="53">
        <f>D12/C12</f>
        <v>0.543019480519481</v>
      </c>
      <c r="H12" s="53">
        <f>(E12+F12)/C12</f>
        <v>0.458603896103896</v>
      </c>
      <c r="J12" s="4" t="inlineStr">
        <is>
          <t>Students are counted where they live, by the sector of the school they attend. The ABS slightly adjusts small Census counts to protect privacy, so the sectors may not add exactly to the total. Shares are our arithmetic.</t>
        </is>
      </c>
    </row>
    <row r="13">
      <c r="A13" s="34" t="inlineStr">
        <is>
          <t>Hunters Hill</t>
        </is>
      </c>
      <c r="B13" s="49" t="n">
        <v>2021</v>
      </c>
      <c r="C13" s="32" t="n">
        <v>1069</v>
      </c>
      <c r="D13" s="32" t="n">
        <v>547</v>
      </c>
      <c r="E13" s="32" t="n">
        <v>365</v>
      </c>
      <c r="F13" s="32" t="n">
        <v>158</v>
      </c>
      <c r="G13" s="53">
        <f>D13/C13</f>
        <v>0.511693171188026</v>
      </c>
      <c r="H13" s="53">
        <f>(E13+F13)/C13</f>
        <v>0.489242282507016</v>
      </c>
    </row>
    <row r="14">
      <c r="A14" s="34" t="inlineStr">
        <is>
          <t>North Sydney</t>
        </is>
      </c>
      <c r="B14" s="49" t="n">
        <v>2011</v>
      </c>
      <c r="C14" s="32" t="n">
        <v>2356</v>
      </c>
      <c r="D14" s="32" t="n">
        <v>1672</v>
      </c>
      <c r="E14" s="32" t="n">
        <v>305</v>
      </c>
      <c r="F14" s="32" t="n">
        <v>371</v>
      </c>
      <c r="G14" s="53">
        <f>D14/C14</f>
        <v>0.709677419354839</v>
      </c>
      <c r="H14" s="53">
        <f>(E14+F14)/C14</f>
        <v>0.286926994906621</v>
      </c>
    </row>
    <row r="15">
      <c r="A15" s="34" t="inlineStr">
        <is>
          <t>North Sydney</t>
        </is>
      </c>
      <c r="B15" s="49" t="n">
        <v>2016</v>
      </c>
      <c r="C15" s="32" t="n">
        <v>3257</v>
      </c>
      <c r="D15" s="32" t="n">
        <v>2377</v>
      </c>
      <c r="E15" s="32" t="n">
        <v>447</v>
      </c>
      <c r="F15" s="32" t="n">
        <v>438</v>
      </c>
      <c r="G15" s="53">
        <f>D15/C15</f>
        <v>0.72981271108382</v>
      </c>
      <c r="H15" s="53">
        <f>(E15+F15)/C15</f>
        <v>0.271722443966841</v>
      </c>
    </row>
    <row r="16">
      <c r="A16" s="34" t="inlineStr">
        <is>
          <t>North Sydney</t>
        </is>
      </c>
      <c r="B16" s="49" t="n">
        <v>2021</v>
      </c>
      <c r="C16" s="32" t="n">
        <v>3621</v>
      </c>
      <c r="D16" s="32" t="n">
        <v>2640</v>
      </c>
      <c r="E16" s="32" t="n">
        <v>479</v>
      </c>
      <c r="F16" s="32" t="n">
        <v>502</v>
      </c>
      <c r="G16" s="53">
        <f>D16/C16</f>
        <v>0.729080364540182</v>
      </c>
      <c r="H16" s="53">
        <f>(E16+F16)/C16</f>
        <v>0.270919635459818</v>
      </c>
      <c r="J16" s="4" t="inlineStr">
        <is>
          <t>'Other non-government' is the ABS Census category for non-government schools that are not Catholic: the schools the other sheets call independent.</t>
        </is>
      </c>
    </row>
    <row r="17">
      <c r="A17" s="34" t="inlineStr">
        <is>
          <t>Mosman</t>
        </is>
      </c>
      <c r="B17" s="49" t="n">
        <v>2011</v>
      </c>
      <c r="C17" s="32" t="n">
        <v>2177</v>
      </c>
      <c r="D17" s="32" t="n">
        <v>993</v>
      </c>
      <c r="E17" s="32" t="n">
        <v>410</v>
      </c>
      <c r="F17" s="32" t="n">
        <v>774</v>
      </c>
      <c r="G17" s="53">
        <f>D17/C17</f>
        <v>0.456132292145154</v>
      </c>
      <c r="H17" s="53">
        <f>(E17+F17)/C17</f>
        <v>0.543867707854846</v>
      </c>
    </row>
    <row r="18">
      <c r="A18" s="34" t="inlineStr">
        <is>
          <t>Mosman</t>
        </is>
      </c>
      <c r="B18" s="49" t="n">
        <v>2016</v>
      </c>
      <c r="C18" s="32" t="n">
        <v>2299</v>
      </c>
      <c r="D18" s="32" t="n">
        <v>1111</v>
      </c>
      <c r="E18" s="32" t="n">
        <v>382</v>
      </c>
      <c r="F18" s="32" t="n">
        <v>811</v>
      </c>
      <c r="G18" s="53">
        <f>D18/C18</f>
        <v>0.483253588516746</v>
      </c>
      <c r="H18" s="53">
        <f>(E18+F18)/C18</f>
        <v>0.518921270117442</v>
      </c>
    </row>
    <row r="19">
      <c r="A19" s="34" t="inlineStr">
        <is>
          <t>Mosman</t>
        </is>
      </c>
      <c r="B19" s="49" t="n">
        <v>2021</v>
      </c>
      <c r="C19" s="32" t="n">
        <v>2179</v>
      </c>
      <c r="D19" s="32" t="n">
        <v>1073</v>
      </c>
      <c r="E19" s="32" t="n">
        <v>380</v>
      </c>
      <c r="F19" s="32" t="n">
        <v>726</v>
      </c>
      <c r="G19" s="53">
        <f>D19/C19</f>
        <v>0.492427719137219</v>
      </c>
      <c r="H19" s="53">
        <f>(E19+F19)/C19</f>
        <v>0.507572280862781</v>
      </c>
      <c r="J19" s="4" t="inlineStr">
        <is>
          <t>The figures are the ABS 2021 Census Time Series table T13 (2011, 2016 and 2021 on 2021 council boundaries), taken from the ABS Data API (first link below). The council community profile pages linked below offer each council's ABS Time Series Profile.</t>
        </is>
      </c>
    </row>
    <row r="20">
      <c r="A20" s="34" t="inlineStr">
        <is>
          <t>Ryde</t>
        </is>
      </c>
      <c r="B20" s="49" t="n">
        <v>2011</v>
      </c>
      <c r="C20" s="32" t="n">
        <v>7110</v>
      </c>
      <c r="D20" s="32" t="n">
        <v>4476</v>
      </c>
      <c r="E20" s="32" t="n">
        <v>2034</v>
      </c>
      <c r="F20" s="32" t="n">
        <v>597</v>
      </c>
      <c r="G20" s="53">
        <f>D20/C20</f>
        <v>0.629535864978903</v>
      </c>
      <c r="H20" s="53">
        <f>(E20+F20)/C20</f>
        <v>0.370042194092827</v>
      </c>
    </row>
    <row r="21">
      <c r="A21" s="34" t="inlineStr">
        <is>
          <t>Ryde</t>
        </is>
      </c>
      <c r="B21" s="49" t="n">
        <v>2016</v>
      </c>
      <c r="C21" s="32" t="n">
        <v>8195</v>
      </c>
      <c r="D21" s="32" t="n">
        <v>5608</v>
      </c>
      <c r="E21" s="32" t="n">
        <v>1916</v>
      </c>
      <c r="F21" s="32" t="n">
        <v>675</v>
      </c>
      <c r="G21" s="53">
        <f>D21/C21</f>
        <v>0.684319707138499</v>
      </c>
      <c r="H21" s="53">
        <f>(E21+F21)/C21</f>
        <v>0.316168395363026</v>
      </c>
    </row>
    <row r="22">
      <c r="A22" s="34" t="inlineStr">
        <is>
          <t>Ryde</t>
        </is>
      </c>
      <c r="B22" s="49" t="n">
        <v>2021</v>
      </c>
      <c r="C22" s="32" t="n">
        <v>9422</v>
      </c>
      <c r="D22" s="32" t="n">
        <v>6708</v>
      </c>
      <c r="E22" s="32" t="n">
        <v>1917</v>
      </c>
      <c r="F22" s="32" t="n">
        <v>780</v>
      </c>
      <c r="G22" s="53">
        <f>D22/C22</f>
        <v>0.711950753555508</v>
      </c>
      <c r="H22" s="53">
        <f>(E22+F22)/C22</f>
        <v>0.286244958607514</v>
      </c>
    </row>
    <row r="23">
      <c r="J23" s="27" t="inlineStr">
        <is>
          <t>Sources</t>
        </is>
      </c>
    </row>
    <row r="24" ht="28" customHeight="1">
      <c r="A24" s="34" t="inlineStr">
        <is>
          <t>Lane Cove: change in the government share, 2011 to 2021 (percentage points)</t>
        </is>
      </c>
      <c r="B24" s="46" t="n"/>
      <c r="C24" s="46" t="n"/>
      <c r="D24" s="46" t="n"/>
      <c r="E24" s="46" t="n"/>
      <c r="F24" s="47" t="n"/>
      <c r="G24" s="37">
        <f>G7-G5</f>
        <v>0.0376586216610922</v>
      </c>
      <c r="J24" s="42" t="inlineStr">
        <is>
          <t>ABS Data API: 2021 Census Time Series, T13 type of educational institution attending, six council areas (C21_T13_LGA)</t>
        </is>
      </c>
    </row>
    <row r="25">
      <c r="J25" s="42" t="inlineStr">
        <is>
          <t>ABS 2021 Census community profiles (General Community Profile and Time Series Profile), Lane Cove LGA</t>
        </is>
      </c>
    </row>
    <row r="26">
      <c r="J26" s="42" t="inlineStr">
        <is>
          <t>ABS 2021 Census community profile (Time Series Profile), Willoughby LGA</t>
        </is>
      </c>
    </row>
    <row r="27">
      <c r="J27" s="42" t="inlineStr">
        <is>
          <t>ABS 2021 Census community profile (Time Series Profile), Hunters Hill LGA</t>
        </is>
      </c>
    </row>
    <row r="28">
      <c r="J28" s="42" t="inlineStr">
        <is>
          <t>ABS 2021 Census community profile (Time Series Profile), North Sydney LGA</t>
        </is>
      </c>
    </row>
    <row r="29">
      <c r="J29" s="42" t="inlineStr">
        <is>
          <t>ABS 2021 Census community profile (Time Series Profile), Mosman LGA</t>
        </is>
      </c>
    </row>
    <row r="30">
      <c r="J30" s="42" t="inlineStr">
        <is>
          <t>ABS 2021 Census community profile (Time Series Profile), Ryde LGA</t>
        </is>
      </c>
    </row>
  </sheetData>
  <mergeCells count="6">
    <mergeCell ref="A24:F24"/>
    <mergeCell ref="J12:J14"/>
    <mergeCell ref="J5:J6"/>
    <mergeCell ref="J8:J9"/>
    <mergeCell ref="J19:J21"/>
    <mergeCell ref="J16:J17"/>
  </mergeCells>
  <hyperlinks>
    <hyperlink xmlns:r="http://schemas.openxmlformats.org/officeDocument/2006/relationships" ref="A2" r:id="rId1"/>
    <hyperlink xmlns:r="http://schemas.openxmlformats.org/officeDocument/2006/relationships" ref="J12" r:id="rId2"/>
    <hyperlink xmlns:r="http://schemas.openxmlformats.org/officeDocument/2006/relationships" ref="J16" r:id="rId3"/>
    <hyperlink xmlns:r="http://schemas.openxmlformats.org/officeDocument/2006/relationships" ref="J19" r:id="rId4"/>
    <hyperlink xmlns:r="http://schemas.openxmlformats.org/officeDocument/2006/relationships" ref="J24" r:id="rId5"/>
    <hyperlink xmlns:r="http://schemas.openxmlformats.org/officeDocument/2006/relationships" ref="J25" r:id="rId6"/>
    <hyperlink xmlns:r="http://schemas.openxmlformats.org/officeDocument/2006/relationships" ref="J26" r:id="rId7"/>
    <hyperlink xmlns:r="http://schemas.openxmlformats.org/officeDocument/2006/relationships" ref="J27" r:id="rId8"/>
    <hyperlink xmlns:r="http://schemas.openxmlformats.org/officeDocument/2006/relationships" ref="J28" r:id="rId9"/>
    <hyperlink xmlns:r="http://schemas.openxmlformats.org/officeDocument/2006/relationships" ref="J29" r:id="rId10"/>
    <hyperlink xmlns:r="http://schemas.openxmlformats.org/officeDocument/2006/relationships" ref="J30" r:id="rId11"/>
  </hyperlinks>
  <printOptions gridLines="0"/>
  <pageMargins left="0.75" right="0.75" top="1" bottom="1" header="0.5" footer="0.5"/>
  <pageSetup orientation="landscape" paperSize="9" fitToHeight="0" fitToWidth="1"/>
</worksheet>
</file>

<file path=xl/worksheets/sheet14.xml><?xml version="1.0" encoding="utf-8"?>
<worksheet xmlns="http://schemas.openxmlformats.org/spreadsheetml/2006/main">
  <sheetPr>
    <outlinePr summaryBelow="1" summaryRight="1"/>
    <pageSetUpPr fitToPage="1"/>
  </sheetPr>
  <dimension ref="A1:I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7" customWidth="1" min="4" max="4"/>
    <col width="15" customWidth="1" min="5" max="5"/>
    <col width="15" customWidth="1" min="6" max="6"/>
    <col width="17" customWidth="1" min="7" max="7"/>
    <col width="3" customWidth="1" min="8" max="8"/>
    <col width="95" customWidth="1" min="9" max="9"/>
  </cols>
  <sheetData>
    <row r="1">
      <c r="A1" s="7" t="inlineStr">
        <is>
          <t>Children aged 5 to 9 against children aged 0 to 4 five years earlier</t>
        </is>
      </c>
    </row>
    <row r="2">
      <c r="A2" s="25" t="inlineStr">
        <is>
          <t>ABS estimated resident population at 30 June. Lane Cove council area and Greater Sydney.</t>
        </is>
      </c>
    </row>
    <row r="3"/>
    <row r="4" ht="56" customHeight="1">
      <c r="A4" s="26" t="inlineStr">
        <is>
          <t>Year (30 June)</t>
        </is>
      </c>
      <c r="B4" s="26" t="inlineStr">
        <is>
          <t>Lane Cove: aged 0 to 4</t>
        </is>
      </c>
      <c r="C4" s="26" t="inlineStr">
        <is>
          <t>Lane Cove: aged 5 to 9</t>
        </is>
      </c>
      <c r="D4" s="26" t="inlineStr">
        <is>
          <t>Lane Cove: 5 to 9 against 0 to 4 five years earlier</t>
        </is>
      </c>
      <c r="E4" s="26" t="inlineStr">
        <is>
          <t>Greater Sydney: aged 0 to 4</t>
        </is>
      </c>
      <c r="F4" s="26" t="inlineStr">
        <is>
          <t>Greater Sydney: aged 5 to 9</t>
        </is>
      </c>
      <c r="G4" s="26" t="inlineStr">
        <is>
          <t>Greater Sydney: 5 to 9 against 0 to 4 five years earlier</t>
        </is>
      </c>
      <c r="I4" s="27" t="inlineStr">
        <is>
          <t>In the article</t>
        </is>
      </c>
    </row>
    <row r="5">
      <c r="A5" s="31" t="n">
        <v>2001</v>
      </c>
      <c r="B5" s="32" t="n">
        <v>1858</v>
      </c>
      <c r="C5" s="32" t="n">
        <v>1783</v>
      </c>
      <c r="D5" s="43" t="n"/>
      <c r="E5" s="32" t="n">
        <v>273268</v>
      </c>
      <c r="F5" s="32" t="n">
        <v>272595</v>
      </c>
      <c r="G5" s="43" t="n"/>
      <c r="I5" s="30" t="inlineStr">
        <is>
          <t>“Between 2017 and 2020 that group grew as it aged, because more young children moved in than out.”</t>
        </is>
      </c>
    </row>
    <row r="6">
      <c r="A6" s="31" t="n">
        <v>2002</v>
      </c>
      <c r="B6" s="32" t="n">
        <v>1856</v>
      </c>
      <c r="C6" s="32" t="n">
        <v>1817</v>
      </c>
      <c r="D6" s="43" t="n"/>
      <c r="E6" s="32" t="n">
        <v>271712</v>
      </c>
      <c r="F6" s="32" t="n">
        <v>271725</v>
      </c>
      <c r="G6" s="43" t="n"/>
    </row>
    <row r="7">
      <c r="A7" s="31" t="n">
        <v>2003</v>
      </c>
      <c r="B7" s="32" t="n">
        <v>1888</v>
      </c>
      <c r="C7" s="32" t="n">
        <v>1811</v>
      </c>
      <c r="D7" s="43" t="n"/>
      <c r="E7" s="32" t="n">
        <v>271938</v>
      </c>
      <c r="F7" s="32" t="n">
        <v>269663</v>
      </c>
      <c r="G7" s="43" t="n"/>
    </row>
    <row r="8">
      <c r="A8" s="31" t="n">
        <v>2004</v>
      </c>
      <c r="B8" s="32" t="n">
        <v>1914</v>
      </c>
      <c r="C8" s="32" t="n">
        <v>1825</v>
      </c>
      <c r="D8" s="43" t="n"/>
      <c r="E8" s="32" t="n">
        <v>272323</v>
      </c>
      <c r="F8" s="32" t="n">
        <v>268508</v>
      </c>
      <c r="G8" s="43" t="n"/>
      <c r="I8" s="30" t="inlineStr">
        <is>
          <t>“In each of the last four years it has shrunk instead, by about one child in ten.”</t>
        </is>
      </c>
    </row>
    <row r="9">
      <c r="A9" s="31" t="n">
        <v>2005</v>
      </c>
      <c r="B9" s="32" t="n">
        <v>1952</v>
      </c>
      <c r="C9" s="32" t="n">
        <v>1825</v>
      </c>
      <c r="D9" s="43" t="n"/>
      <c r="E9" s="32" t="n">
        <v>273842</v>
      </c>
      <c r="F9" s="32" t="n">
        <v>268385</v>
      </c>
      <c r="G9" s="43" t="n"/>
    </row>
    <row r="10">
      <c r="A10" s="31" t="n">
        <v>2006</v>
      </c>
      <c r="B10" s="32" t="n">
        <v>1980</v>
      </c>
      <c r="C10" s="32" t="n">
        <v>1839</v>
      </c>
      <c r="D10" s="54">
        <f>C10/B5</f>
        <v>0.989773950484392</v>
      </c>
      <c r="E10" s="32" t="n">
        <v>277893</v>
      </c>
      <c r="F10" s="32" t="n">
        <v>268543</v>
      </c>
      <c r="G10" s="54">
        <f>F10/E5</f>
        <v>0.982709281730755</v>
      </c>
      <c r="I10" s="30" t="inlineStr">
        <is>
          <t>“Across Greater Sydney the same group held about level (ABS population estimates).”</t>
        </is>
      </c>
    </row>
    <row r="11">
      <c r="A11" s="31" t="n">
        <v>2007</v>
      </c>
      <c r="B11" s="32" t="n">
        <v>2077</v>
      </c>
      <c r="C11" s="32" t="n">
        <v>1822</v>
      </c>
      <c r="D11" s="54">
        <f>C11/B6</f>
        <v>0.981681034482759</v>
      </c>
      <c r="E11" s="32" t="n">
        <v>286256</v>
      </c>
      <c r="F11" s="32" t="n">
        <v>269216</v>
      </c>
      <c r="G11" s="54">
        <f>F11/E6</f>
        <v>0.990813802850077</v>
      </c>
    </row>
    <row r="12">
      <c r="A12" s="31" t="n">
        <v>2008</v>
      </c>
      <c r="B12" s="32" t="n">
        <v>2153</v>
      </c>
      <c r="C12" s="32" t="n">
        <v>1846</v>
      </c>
      <c r="D12" s="54">
        <f>C12/B7</f>
        <v>0.977754237288136</v>
      </c>
      <c r="E12" s="32" t="n">
        <v>294377</v>
      </c>
      <c r="F12" s="32" t="n">
        <v>271719</v>
      </c>
      <c r="G12" s="54">
        <f>F12/E7</f>
        <v>0.999194669373166</v>
      </c>
      <c r="I12" s="27" t="inlineStr">
        <is>
          <t>How the figures are worked out</t>
        </is>
      </c>
    </row>
    <row r="13">
      <c r="A13" s="31" t="n">
        <v>2009</v>
      </c>
      <c r="B13" s="32" t="n">
        <v>2189</v>
      </c>
      <c r="C13" s="32" t="n">
        <v>1886</v>
      </c>
      <c r="D13" s="54">
        <f>C13/B8</f>
        <v>0.985370950888192</v>
      </c>
      <c r="E13" s="32" t="n">
        <v>302549</v>
      </c>
      <c r="F13" s="32" t="n">
        <v>274692</v>
      </c>
      <c r="G13" s="54">
        <f>F13/E8</f>
        <v>1.0086992284897</v>
      </c>
      <c r="I13" s="3" t="inlineStr">
        <is>
          <t>The ratio sets the children aged 5 to 9 at 30 June of a year against the children aged 0 to 4 at 30 June five years earlier: broadly the same children, five years on. 2025 is aged 5 to 9 in 2025 against aged 0 to 4 in 2020. Above 1 means more children of that age moved in than out over the five years; below 1, more moved out. Our arithmetic.</t>
        </is>
      </c>
    </row>
    <row r="14">
      <c r="A14" s="31" t="n">
        <v>2010</v>
      </c>
      <c r="B14" s="32" t="n">
        <v>2234</v>
      </c>
      <c r="C14" s="32" t="n">
        <v>1974</v>
      </c>
      <c r="D14" s="54">
        <f>C14/B9</f>
        <v>1.01127049180328</v>
      </c>
      <c r="E14" s="32" t="n">
        <v>308221</v>
      </c>
      <c r="F14" s="32" t="n">
        <v>277760</v>
      </c>
      <c r="G14" s="54">
        <f>F14/E9</f>
        <v>1.01430752039497</v>
      </c>
    </row>
    <row r="15">
      <c r="A15" s="31" t="n">
        <v>2011</v>
      </c>
      <c r="B15" s="32" t="n">
        <v>2266</v>
      </c>
      <c r="C15" s="32" t="n">
        <v>2059</v>
      </c>
      <c r="D15" s="54">
        <f>C15/B10</f>
        <v>1.03989898989899</v>
      </c>
      <c r="E15" s="32" t="n">
        <v>308528</v>
      </c>
      <c r="F15" s="32" t="n">
        <v>282494</v>
      </c>
      <c r="G15" s="54">
        <f>F15/E10</f>
        <v>1.01655673226746</v>
      </c>
    </row>
    <row r="16">
      <c r="A16" s="31" t="n">
        <v>2012</v>
      </c>
      <c r="B16" s="32" t="n">
        <v>2280</v>
      </c>
      <c r="C16" s="32" t="n">
        <v>2095</v>
      </c>
      <c r="D16" s="54">
        <f>C16/B11</f>
        <v>1.0086663456909</v>
      </c>
      <c r="E16" s="32" t="n">
        <v>315493</v>
      </c>
      <c r="F16" s="32" t="n">
        <v>289062</v>
      </c>
      <c r="G16" s="54">
        <f>F16/E11</f>
        <v>1.00980241462188</v>
      </c>
    </row>
    <row r="17">
      <c r="A17" s="31" t="n">
        <v>2013</v>
      </c>
      <c r="B17" s="32" t="n">
        <v>2278</v>
      </c>
      <c r="C17" s="32" t="n">
        <v>2154</v>
      </c>
      <c r="D17" s="54">
        <f>C17/B12</f>
        <v>1.00046446818393</v>
      </c>
      <c r="E17" s="32" t="n">
        <v>321541</v>
      </c>
      <c r="F17" s="32" t="n">
        <v>296738</v>
      </c>
      <c r="G17" s="54">
        <f>F17/E12</f>
        <v>1.00802032767506</v>
      </c>
    </row>
    <row r="18">
      <c r="A18" s="31" t="n">
        <v>2014</v>
      </c>
      <c r="B18" s="32" t="n">
        <v>2334</v>
      </c>
      <c r="C18" s="32" t="n">
        <v>2178</v>
      </c>
      <c r="D18" s="54">
        <f>C18/B13</f>
        <v>0.994974874371859</v>
      </c>
      <c r="E18" s="32" t="n">
        <v>325678</v>
      </c>
      <c r="F18" s="32" t="n">
        <v>305121</v>
      </c>
      <c r="G18" s="54">
        <f>F18/E13</f>
        <v>1.00850110230078</v>
      </c>
      <c r="I18" s="4" t="inlineStr">
        <is>
          <t>Lane Cove is from the ABS council-area table. Greater Sydney is the ABS's own estimate for the Greater Sydney area as a whole (ABS Data API, by age, area code 1GSYD), not a sum of council-area figures.</t>
        </is>
      </c>
    </row>
    <row r="19">
      <c r="A19" s="31" t="n">
        <v>2015</v>
      </c>
      <c r="B19" s="32" t="n">
        <v>2398</v>
      </c>
      <c r="C19" s="32" t="n">
        <v>2251</v>
      </c>
      <c r="D19" s="54">
        <f>C19/B14</f>
        <v>1.0076096687556</v>
      </c>
      <c r="E19" s="32" t="n">
        <v>328909</v>
      </c>
      <c r="F19" s="32" t="n">
        <v>314494</v>
      </c>
      <c r="G19" s="54">
        <f>F19/E14</f>
        <v>1.02035227969541</v>
      </c>
    </row>
    <row r="20">
      <c r="A20" s="31" t="n">
        <v>2016</v>
      </c>
      <c r="B20" s="32" t="n">
        <v>2607</v>
      </c>
      <c r="C20" s="32" t="n">
        <v>2261</v>
      </c>
      <c r="D20" s="54">
        <f>C20/B15</f>
        <v>0.997793468667255</v>
      </c>
      <c r="E20" s="32" t="n">
        <v>333576</v>
      </c>
      <c r="F20" s="32" t="n">
        <v>322128</v>
      </c>
      <c r="G20" s="54">
        <f>F20/E15</f>
        <v>1.04408027796505</v>
      </c>
    </row>
    <row r="21">
      <c r="A21" s="31" t="n">
        <v>2017</v>
      </c>
      <c r="B21" s="32" t="n">
        <v>2650</v>
      </c>
      <c r="C21" s="32" t="n">
        <v>2377</v>
      </c>
      <c r="D21" s="54">
        <f>C21/B16</f>
        <v>1.04254385964912</v>
      </c>
      <c r="E21" s="32" t="n">
        <v>333861</v>
      </c>
      <c r="F21" s="32" t="n">
        <v>328284</v>
      </c>
      <c r="G21" s="54">
        <f>F21/E16</f>
        <v>1.04054289635586</v>
      </c>
    </row>
    <row r="22">
      <c r="A22" s="31" t="n">
        <v>2018</v>
      </c>
      <c r="B22" s="32" t="n">
        <v>2633</v>
      </c>
      <c r="C22" s="32" t="n">
        <v>2469</v>
      </c>
      <c r="D22" s="54">
        <f>C22/B17</f>
        <v>1.0838454784899</v>
      </c>
      <c r="E22" s="32" t="n">
        <v>330812</v>
      </c>
      <c r="F22" s="32" t="n">
        <v>331625</v>
      </c>
      <c r="G22" s="54">
        <f>F22/E17</f>
        <v>1.03136147489745</v>
      </c>
      <c r="I22" s="4" t="inlineStr">
        <is>
          <t>ABS estimates after 2021 will be revised after the 2026 Census.</t>
        </is>
      </c>
    </row>
    <row r="23">
      <c r="A23" s="31" t="n">
        <v>2019</v>
      </c>
      <c r="B23" s="32" t="n">
        <v>2653</v>
      </c>
      <c r="C23" s="32" t="n">
        <v>2495</v>
      </c>
      <c r="D23" s="54">
        <f>C23/B18</f>
        <v>1.06898029134533</v>
      </c>
      <c r="E23" s="32" t="n">
        <v>328831</v>
      </c>
      <c r="F23" s="32" t="n">
        <v>334445</v>
      </c>
      <c r="G23" s="54">
        <f>F23/E18</f>
        <v>1.02691922696651</v>
      </c>
    </row>
    <row r="24">
      <c r="A24" s="31" t="n">
        <v>2020</v>
      </c>
      <c r="B24" s="32" t="n">
        <v>2558</v>
      </c>
      <c r="C24" s="32" t="n">
        <v>2500</v>
      </c>
      <c r="D24" s="54">
        <f>C24/B19</f>
        <v>1.04253544620517</v>
      </c>
      <c r="E24" s="32" t="n">
        <v>324432</v>
      </c>
      <c r="F24" s="32" t="n">
        <v>334604</v>
      </c>
      <c r="G24" s="54">
        <f>F24/E19</f>
        <v>1.01731481960056</v>
      </c>
      <c r="I24" s="27" t="inlineStr">
        <is>
          <t>Sources</t>
        </is>
      </c>
    </row>
    <row r="25">
      <c r="A25" s="31" t="n">
        <v>2021</v>
      </c>
      <c r="B25" s="32" t="n">
        <v>2423</v>
      </c>
      <c r="C25" s="32" t="n">
        <v>2519</v>
      </c>
      <c r="D25" s="54">
        <f>C25/B20</f>
        <v>0.966244725738397</v>
      </c>
      <c r="E25" s="32" t="n">
        <v>318984</v>
      </c>
      <c r="F25" s="32" t="n">
        <v>332259</v>
      </c>
      <c r="G25" s="54">
        <f>F25/E20</f>
        <v>0.996051874235557</v>
      </c>
      <c r="I25" s="42" t="inlineStr">
        <is>
          <t>ABS Regional population by age and sex 2025 (32350DS0006)</t>
        </is>
      </c>
    </row>
    <row r="26">
      <c r="A26" s="31" t="n">
        <v>2022</v>
      </c>
      <c r="B26" s="32" t="n">
        <v>2417</v>
      </c>
      <c r="C26" s="32" t="n">
        <v>2424</v>
      </c>
      <c r="D26" s="54">
        <f>C26/B21</f>
        <v>0.914716981132075</v>
      </c>
      <c r="E26" s="32" t="n">
        <v>318449</v>
      </c>
      <c r="F26" s="32" t="n">
        <v>329905</v>
      </c>
      <c r="G26" s="54">
        <f>F26/E21</f>
        <v>0.988150757351113</v>
      </c>
      <c r="I26" s="42" t="inlineStr">
        <is>
          <t>ABS Regional population by age and sex, 2025: release page (council areas and Greater Sydney)</t>
        </is>
      </c>
    </row>
    <row r="27">
      <c r="A27" s="31" t="n">
        <v>2023</v>
      </c>
      <c r="B27" s="32" t="n">
        <v>2364</v>
      </c>
      <c r="C27" s="32" t="n">
        <v>2403</v>
      </c>
      <c r="D27" s="54">
        <f>C27/B22</f>
        <v>0.912647170527915</v>
      </c>
      <c r="E27" s="32" t="n">
        <v>315243</v>
      </c>
      <c r="F27" s="32" t="n">
        <v>328576</v>
      </c>
      <c r="G27" s="54">
        <f>F27/E22</f>
        <v>0.993240873970715</v>
      </c>
      <c r="I27" s="42" t="inlineStr">
        <is>
          <t>ABS Data API: estimated resident population by age, Greater Sydney (ERP_ASGS2021)</t>
        </is>
      </c>
    </row>
    <row r="28">
      <c r="A28" s="31" t="n">
        <v>2024</v>
      </c>
      <c r="B28" s="32" t="n">
        <v>2368</v>
      </c>
      <c r="C28" s="32" t="n">
        <v>2392</v>
      </c>
      <c r="D28" s="54">
        <f>C28/B23</f>
        <v>0.901620806633999</v>
      </c>
      <c r="E28" s="32" t="n">
        <v>310998</v>
      </c>
      <c r="F28" s="32" t="n">
        <v>327540</v>
      </c>
      <c r="G28" s="54">
        <f>F28/E23</f>
        <v>0.996073971128026</v>
      </c>
    </row>
    <row r="29">
      <c r="A29" s="31" t="n">
        <v>2025</v>
      </c>
      <c r="B29" s="32" t="n">
        <v>2348</v>
      </c>
      <c r="C29" s="32" t="n">
        <v>2304</v>
      </c>
      <c r="D29" s="54">
        <f>C29/B24</f>
        <v>0.900703674745895</v>
      </c>
      <c r="E29" s="32" t="n">
        <v>309870</v>
      </c>
      <c r="F29" s="32" t="n">
        <v>325298</v>
      </c>
      <c r="G29" s="54">
        <f>F29/E24</f>
        <v>1.00266928046555</v>
      </c>
    </row>
    <row r="30"/>
    <row r="31">
      <c r="A31" s="34" t="inlineStr">
        <is>
          <t>Lowest, 2017 to 2020</t>
        </is>
      </c>
      <c r="D31" s="54">
        <f>MIN(D21:D24)</f>
        <v>1.04253544620517</v>
      </c>
      <c r="G31" s="54">
        <f>MIN(G21:G24)</f>
        <v>1.01731481960056</v>
      </c>
    </row>
    <row r="32">
      <c r="A32" s="34" t="inlineStr">
        <is>
          <t>Highest, 2017 to 2020</t>
        </is>
      </c>
      <c r="D32" s="54">
        <f>MAX(D21:D24)</f>
        <v>1.0838454784899</v>
      </c>
      <c r="G32" s="54">
        <f>MAX(G21:G24)</f>
        <v>1.04054289635586</v>
      </c>
    </row>
    <row r="33">
      <c r="A33" s="34" t="inlineStr">
        <is>
          <t>Lowest, 2022 to 2025</t>
        </is>
      </c>
      <c r="D33" s="54">
        <f>MIN(D26:D29)</f>
        <v>0.900703674745895</v>
      </c>
      <c r="G33" s="54">
        <f>MIN(G26:G29)</f>
        <v>0.988150757351113</v>
      </c>
    </row>
    <row r="34">
      <c r="A34" s="34" t="inlineStr">
        <is>
          <t>Highest, 2022 to 2025</t>
        </is>
      </c>
      <c r="D34" s="54">
        <f>MAX(D26:D29)</f>
        <v>0.914716981132075</v>
      </c>
      <c r="G34" s="54">
        <f>MAX(G26:G29)</f>
        <v>1.00266928046555</v>
      </c>
    </row>
    <row r="35"/>
    <row r="36" ht="28.5" customHeight="1">
      <c r="A36" s="34" t="inlineStr">
        <is>
          <t>Lane Cove aged 5 to 9: highest, all years shown</t>
        </is>
      </c>
      <c r="C36" s="33">
        <f>MAX(C5:C29)</f>
        <v>2519</v>
      </c>
    </row>
    <row r="37">
      <c r="A37" s="34" t="inlineStr">
        <is>
          <t>Year of that high</t>
        </is>
      </c>
      <c r="C37" s="40">
        <f>INDEX(A5:A29,MATCH(C36,C5:C29,0))</f>
        <v>2021</v>
      </c>
    </row>
  </sheetData>
  <mergeCells count="3">
    <mergeCell ref="I13:I16"/>
    <mergeCell ref="I18:I20"/>
    <mergeCell ref="I5:I6"/>
  </mergeCells>
  <hyperlinks>
    <hyperlink xmlns:r="http://schemas.openxmlformats.org/officeDocument/2006/relationships" ref="A2" r:id="rId1"/>
    <hyperlink xmlns:r="http://schemas.openxmlformats.org/officeDocument/2006/relationships" ref="I18" r:id="rId2"/>
    <hyperlink xmlns:r="http://schemas.openxmlformats.org/officeDocument/2006/relationships" ref="I22" r:id="rId3"/>
    <hyperlink xmlns:r="http://schemas.openxmlformats.org/officeDocument/2006/relationships" ref="I25" r:id="rId4"/>
    <hyperlink xmlns:r="http://schemas.openxmlformats.org/officeDocument/2006/relationships" ref="I26" r:id="rId5"/>
    <hyperlink xmlns:r="http://schemas.openxmlformats.org/officeDocument/2006/relationships" ref="I27" r:id="rId6"/>
  </hyperlinks>
  <printOptions gridLines="0"/>
  <pageMargins left="0.75" right="0.75" top="1" bottom="1" header="0.5" footer="0.5"/>
  <pageSetup orientation="landscape" paperSize="9" fitToHeight="0" fitToWidth="1"/>
</worksheet>
</file>

<file path=xl/worksheets/sheet15.xml><?xml version="1.0" encoding="utf-8"?>
<worksheet xmlns="http://schemas.openxmlformats.org/spreadsheetml/2006/main">
  <sheetPr>
    <outlinePr summaryBelow="1" summaryRight="1"/>
    <pageSetUpPr fitToPage="1"/>
  </sheetPr>
  <dimension ref="A1:W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3" customWidth="1" min="15" max="15"/>
    <col width="14" customWidth="1" min="16" max="16"/>
    <col width="14" customWidth="1" min="17" max="17"/>
    <col width="14" customWidth="1" min="18" max="18"/>
    <col width="14" customWidth="1" min="19" max="19"/>
    <col width="14" customWidth="1" min="20" max="20"/>
    <col width="14" customWidth="1" min="21" max="21"/>
    <col width="3" customWidth="1" min="22" max="22"/>
    <col width="95" customWidth="1" min="23" max="23"/>
  </cols>
  <sheetData>
    <row r="1">
      <c r="A1" s="7" t="inlineStr">
        <is>
          <t>Kindergarten per 1,000 children aged 5 to 9 living in the area</t>
        </is>
      </c>
    </row>
    <row r="2">
      <c r="A2" s="25" t="inlineStr">
        <is>
          <t>Our arithmetic from ACARA kindergarten (schools located in the area) and ABS estimates at 30 June. Lane Cove is shown three ways: the article's five schools (Mowbray in, Currambena out), the council area's own schools plus all of Mowbray, and the council area's own schools only.</t>
        </is>
      </c>
    </row>
    <row r="3"/>
    <row r="4" ht="84" customHeight="1">
      <c r="A4" s="26" t="inlineStr">
        <is>
          <t>Year</t>
        </is>
      </c>
      <c r="B4" s="26" t="inlineStr">
        <is>
          <t>Five schools: kindergarten</t>
        </is>
      </c>
      <c r="C4" s="26" t="inlineStr">
        <is>
          <t>Lane Cove: children aged 5 to 9 (30 June)</t>
        </is>
      </c>
      <c r="D4" s="26" t="inlineStr">
        <is>
          <t>Five schools: kindergarten per 1,000 aged 5 to 9</t>
        </is>
      </c>
      <c r="E4" s="26" t="inlineStr">
        <is>
          <t>Council-area schools plus all of Mowbray: kindergarten</t>
        </is>
      </c>
      <c r="F4" s="26" t="inlineStr">
        <is>
          <t>Council-area schools plus Mowbray: per 1,000</t>
        </is>
      </c>
      <c r="G4" s="26" t="inlineStr">
        <is>
          <t>Council-area schools only: kindergarten</t>
        </is>
      </c>
      <c r="H4" s="26" t="inlineStr">
        <is>
          <t>Council-area schools only: per 1,000</t>
        </is>
      </c>
      <c r="I4" s="26" t="inlineStr">
        <is>
          <t>Six councils: kindergarten</t>
        </is>
      </c>
      <c r="J4" s="26" t="inlineStr">
        <is>
          <t>Six councils: children aged 5 to 9 (30 June; sum of columns P to U)</t>
        </is>
      </c>
      <c r="K4" s="26" t="inlineStr">
        <is>
          <t>Six councils: kindergarten per 1,000 aged 5 to 9</t>
        </is>
      </c>
      <c r="L4" s="26" t="inlineStr">
        <is>
          <t>Greater Sydney: kindergarten</t>
        </is>
      </c>
      <c r="M4" s="26" t="inlineStr">
        <is>
          <t>Greater Sydney: children aged 5 to 9 (30 June)</t>
        </is>
      </c>
      <c r="N4" s="26" t="inlineStr">
        <is>
          <t>Greater Sydney: kindergarten per 1,000 aged 5 to 9</t>
        </is>
      </c>
      <c r="P4" s="26" t="inlineStr">
        <is>
          <t>Lane Cove: children aged 5 to 9 (30 June); same as column C</t>
        </is>
      </c>
      <c r="Q4" s="26" t="inlineStr">
        <is>
          <t>Willoughby: children aged 5 to 9 (30 June)</t>
        </is>
      </c>
      <c r="R4" s="26" t="inlineStr">
        <is>
          <t>Hunters Hill: children aged 5 to 9 (30 June)</t>
        </is>
      </c>
      <c r="S4" s="26" t="inlineStr">
        <is>
          <t>North Sydney: children aged 5 to 9 (30 June)</t>
        </is>
      </c>
      <c r="T4" s="26" t="inlineStr">
        <is>
          <t>Mosman: children aged 5 to 9 (30 June)</t>
        </is>
      </c>
      <c r="U4" s="26" t="inlineStr">
        <is>
          <t>Ryde: children aged 5 to 9 (30 June)</t>
        </is>
      </c>
      <c r="W4" s="27" t="inlineStr">
        <is>
          <t>In the article</t>
        </is>
      </c>
    </row>
    <row r="5">
      <c r="A5" s="31" t="n">
        <v>2016</v>
      </c>
      <c r="B5" s="33">
        <f>'Kindergarten'!H15</f>
        <v>443</v>
      </c>
      <c r="C5" s="32" t="n">
        <v>2261</v>
      </c>
      <c r="D5" s="44">
        <f>B5/C5*1000</f>
        <v>195.93100398054</v>
      </c>
      <c r="E5" s="33">
        <f>'Sector kindergarten'!E6+'Kindergarten'!F15</f>
        <v>460</v>
      </c>
      <c r="F5" s="44">
        <f>E5/C5*1000</f>
        <v>203.449800973021</v>
      </c>
      <c r="G5" s="33">
        <f>'Sector kindergarten'!E6</f>
        <v>377</v>
      </c>
      <c r="H5" s="44">
        <f>G5/C5*1000</f>
        <v>166.740380362671</v>
      </c>
      <c r="I5" s="33">
        <f>'Sector kindergarten'!I6</f>
        <v>4160</v>
      </c>
      <c r="J5" s="33">
        <f>SUM(P5:U5)</f>
        <v>20128</v>
      </c>
      <c r="K5" s="44">
        <f>I5/J5*1000</f>
        <v>206.677265500795</v>
      </c>
      <c r="L5" s="33">
        <f>'Sector kindergarten'!M6</f>
        <v>64701</v>
      </c>
      <c r="M5" s="32" t="n">
        <v>322128</v>
      </c>
      <c r="N5" s="44">
        <f>L5/M5*1000</f>
        <v>200.854939651319</v>
      </c>
      <c r="P5" s="32" t="n">
        <v>2261</v>
      </c>
      <c r="Q5" s="32" t="n">
        <v>5437</v>
      </c>
      <c r="R5" s="32" t="n">
        <v>960</v>
      </c>
      <c r="S5" s="32" t="n">
        <v>2873</v>
      </c>
      <c r="T5" s="32" t="n">
        <v>1867</v>
      </c>
      <c r="U5" s="32" t="n">
        <v>6730</v>
      </c>
      <c r="W5" s="30" t="inlineStr">
        <is>
          <t>“A smaller share start here: the five schools took 174 kindergarten children for every 1,000 five-to-nine-year-olds living here in 2023 to 2025, against 206 in 2016 to 2019.”</t>
        </is>
      </c>
    </row>
    <row r="6">
      <c r="A6" s="31" t="n">
        <v>2017</v>
      </c>
      <c r="B6" s="33">
        <f>'Kindergarten'!H16</f>
        <v>502</v>
      </c>
      <c r="C6" s="32" t="n">
        <v>2377</v>
      </c>
      <c r="D6" s="44">
        <f>B6/C6*1000</f>
        <v>211.190576356752</v>
      </c>
      <c r="E6" s="33">
        <f>'Sector kindergarten'!E7+'Kindergarten'!F16</f>
        <v>519</v>
      </c>
      <c r="F6" s="44">
        <f>E6/C6*1000</f>
        <v>218.342448464451</v>
      </c>
      <c r="G6" s="33">
        <f>'Sector kindergarten'!E7</f>
        <v>417</v>
      </c>
      <c r="H6" s="44">
        <f>G6/C6*1000</f>
        <v>175.431215818258</v>
      </c>
      <c r="I6" s="33">
        <f>'Sector kindergarten'!I7</f>
        <v>4275</v>
      </c>
      <c r="J6" s="33">
        <f>SUM(P6:U6)</f>
        <v>20617</v>
      </c>
      <c r="K6" s="44">
        <f>I6/J6*1000</f>
        <v>207.353155163215</v>
      </c>
      <c r="L6" s="33">
        <f>'Sector kindergarten'!M7</f>
        <v>65694</v>
      </c>
      <c r="M6" s="32" t="n">
        <v>328284</v>
      </c>
      <c r="N6" s="44">
        <f>L6/M6*1000</f>
        <v>200.113316518624</v>
      </c>
      <c r="P6" s="32" t="n">
        <v>2377</v>
      </c>
      <c r="Q6" s="32" t="n">
        <v>5526</v>
      </c>
      <c r="R6" s="32" t="n">
        <v>937</v>
      </c>
      <c r="S6" s="32" t="n">
        <v>2982</v>
      </c>
      <c r="T6" s="32" t="n">
        <v>1849</v>
      </c>
      <c r="U6" s="32" t="n">
        <v>6946</v>
      </c>
    </row>
    <row r="7">
      <c r="A7" s="31" t="n">
        <v>2018</v>
      </c>
      <c r="B7" s="33">
        <f>'Kindergarten'!H17</f>
        <v>518</v>
      </c>
      <c r="C7" s="32" t="n">
        <v>2469</v>
      </c>
      <c r="D7" s="44">
        <f>B7/C7*1000</f>
        <v>209.80153908465</v>
      </c>
      <c r="E7" s="33">
        <f>'Sector kindergarten'!E8+'Kindergarten'!F17</f>
        <v>531</v>
      </c>
      <c r="F7" s="44">
        <f>E7/C7*1000</f>
        <v>215.066828675577</v>
      </c>
      <c r="G7" s="33">
        <f>'Sector kindergarten'!E8</f>
        <v>413</v>
      </c>
      <c r="H7" s="44">
        <f>G7/C7*1000</f>
        <v>167.274200081004</v>
      </c>
      <c r="I7" s="33">
        <f>'Sector kindergarten'!I8</f>
        <v>4403</v>
      </c>
      <c r="J7" s="33">
        <f>SUM(P7:U7)</f>
        <v>20865</v>
      </c>
      <c r="K7" s="44">
        <f>I7/J7*1000</f>
        <v>211.023244668105</v>
      </c>
      <c r="L7" s="33">
        <f>'Sector kindergarten'!M8</f>
        <v>66904</v>
      </c>
      <c r="M7" s="32" t="n">
        <v>331625</v>
      </c>
      <c r="N7" s="44">
        <f>L7/M7*1000</f>
        <v>201.745947983415</v>
      </c>
      <c r="P7" s="32" t="n">
        <v>2469</v>
      </c>
      <c r="Q7" s="32" t="n">
        <v>5603</v>
      </c>
      <c r="R7" s="32" t="n">
        <v>885</v>
      </c>
      <c r="S7" s="32" t="n">
        <v>3005</v>
      </c>
      <c r="T7" s="32" t="n">
        <v>1787</v>
      </c>
      <c r="U7" s="32" t="n">
        <v>7116</v>
      </c>
    </row>
    <row r="8">
      <c r="A8" s="31" t="n">
        <v>2019</v>
      </c>
      <c r="B8" s="33">
        <f>'Kindergarten'!H18</f>
        <v>512</v>
      </c>
      <c r="C8" s="32" t="n">
        <v>2495</v>
      </c>
      <c r="D8" s="44">
        <f>B8/C8*1000</f>
        <v>205.210420841683</v>
      </c>
      <c r="E8" s="33">
        <f>'Sector kindergarten'!E9+'Kindergarten'!F18</f>
        <v>528</v>
      </c>
      <c r="F8" s="44">
        <f>E8/C8*1000</f>
        <v>211.623246492986</v>
      </c>
      <c r="G8" s="33">
        <f>'Sector kindergarten'!E9</f>
        <v>411</v>
      </c>
      <c r="H8" s="44">
        <f>G8/C8*1000</f>
        <v>164.729458917836</v>
      </c>
      <c r="I8" s="33">
        <f>'Sector kindergarten'!I9</f>
        <v>4294</v>
      </c>
      <c r="J8" s="33">
        <f>SUM(P8:U8)</f>
        <v>21066</v>
      </c>
      <c r="K8" s="44">
        <f>I8/J8*1000</f>
        <v>203.835564416595</v>
      </c>
      <c r="L8" s="33">
        <f>'Sector kindergarten'!M9</f>
        <v>66013</v>
      </c>
      <c r="M8" s="32" t="n">
        <v>334445</v>
      </c>
      <c r="N8" s="44">
        <f>L8/M8*1000</f>
        <v>197.380735247948</v>
      </c>
      <c r="P8" s="32" t="n">
        <v>2495</v>
      </c>
      <c r="Q8" s="32" t="n">
        <v>5624</v>
      </c>
      <c r="R8" s="32" t="n">
        <v>863</v>
      </c>
      <c r="S8" s="32" t="n">
        <v>2977</v>
      </c>
      <c r="T8" s="32" t="n">
        <v>1740</v>
      </c>
      <c r="U8" s="32" t="n">
        <v>7367</v>
      </c>
      <c r="W8" s="30" t="inlineStr">
        <is>
          <t>“More young children move out of the Lane Cove LGA than move in, which cancelled out the bigger birth years.”</t>
        </is>
      </c>
    </row>
    <row r="9">
      <c r="A9" s="31" t="n">
        <v>2020</v>
      </c>
      <c r="B9" s="33">
        <f>'Kindergarten'!H19</f>
        <v>466</v>
      </c>
      <c r="C9" s="32" t="n">
        <v>2500</v>
      </c>
      <c r="D9" s="44">
        <f>B9/C9*1000</f>
        <v>186.4</v>
      </c>
      <c r="E9" s="33">
        <f>'Sector kindergarten'!E10+'Kindergarten'!F19</f>
        <v>477</v>
      </c>
      <c r="F9" s="44">
        <f>E9/C9*1000</f>
        <v>190.8</v>
      </c>
      <c r="G9" s="33">
        <f>'Sector kindergarten'!E10</f>
        <v>371</v>
      </c>
      <c r="H9" s="44">
        <f>G9/C9*1000</f>
        <v>148.4</v>
      </c>
      <c r="I9" s="33">
        <f>'Sector kindergarten'!I10</f>
        <v>4172</v>
      </c>
      <c r="J9" s="33">
        <f>SUM(P9:U9)</f>
        <v>20958</v>
      </c>
      <c r="K9" s="44">
        <f>I9/J9*1000</f>
        <v>199.064796259185</v>
      </c>
      <c r="L9" s="33">
        <f>'Sector kindergarten'!M10</f>
        <v>65984</v>
      </c>
      <c r="M9" s="32" t="n">
        <v>334604</v>
      </c>
      <c r="N9" s="44">
        <f>L9/M9*1000</f>
        <v>197.200272560998</v>
      </c>
      <c r="P9" s="32" t="n">
        <v>2500</v>
      </c>
      <c r="Q9" s="32" t="n">
        <v>5595</v>
      </c>
      <c r="R9" s="32" t="n">
        <v>827</v>
      </c>
      <c r="S9" s="32" t="n">
        <v>2921</v>
      </c>
      <c r="T9" s="32" t="n">
        <v>1654</v>
      </c>
      <c r="U9" s="32" t="n">
        <v>7461</v>
      </c>
    </row>
    <row r="10">
      <c r="A10" s="31" t="n">
        <v>2021</v>
      </c>
      <c r="B10" s="33">
        <f>'Kindergarten'!H20</f>
        <v>514</v>
      </c>
      <c r="C10" s="32" t="n">
        <v>2519</v>
      </c>
      <c r="D10" s="44">
        <f>B10/C10*1000</f>
        <v>204.049225883287</v>
      </c>
      <c r="E10" s="33">
        <f>'Sector kindergarten'!E11+'Kindergarten'!F20</f>
        <v>529</v>
      </c>
      <c r="F10" s="44">
        <f>E10/C10*1000</f>
        <v>210.003969829297</v>
      </c>
      <c r="G10" s="33">
        <f>'Sector kindergarten'!E11</f>
        <v>414</v>
      </c>
      <c r="H10" s="44">
        <f>G10/C10*1000</f>
        <v>164.350932909885</v>
      </c>
      <c r="I10" s="33">
        <f>'Sector kindergarten'!I11</f>
        <v>4034</v>
      </c>
      <c r="J10" s="33">
        <f>SUM(P10:U10)</f>
        <v>20437</v>
      </c>
      <c r="K10" s="44">
        <f>I10/J10*1000</f>
        <v>197.387092038949</v>
      </c>
      <c r="L10" s="33">
        <f>'Sector kindergarten'!M11</f>
        <v>65250</v>
      </c>
      <c r="M10" s="32" t="n">
        <v>332259</v>
      </c>
      <c r="N10" s="44">
        <f>L10/M10*1000</f>
        <v>196.382942222784</v>
      </c>
      <c r="P10" s="32" t="n">
        <v>2519</v>
      </c>
      <c r="Q10" s="32" t="n">
        <v>5244</v>
      </c>
      <c r="R10" s="32" t="n">
        <v>775</v>
      </c>
      <c r="S10" s="32" t="n">
        <v>2894</v>
      </c>
      <c r="T10" s="32" t="n">
        <v>1554</v>
      </c>
      <c r="U10" s="32" t="n">
        <v>7451</v>
      </c>
    </row>
    <row r="11">
      <c r="A11" s="31" t="n">
        <v>2022</v>
      </c>
      <c r="B11" s="33">
        <f>'Kindergarten'!H21</f>
        <v>444</v>
      </c>
      <c r="C11" s="32" t="n">
        <v>2424</v>
      </c>
      <c r="D11" s="44">
        <f>B11/C11*1000</f>
        <v>183.168316831683</v>
      </c>
      <c r="E11" s="33">
        <f>'Sector kindergarten'!E12+'Kindergarten'!F21</f>
        <v>464</v>
      </c>
      <c r="F11" s="44">
        <f>E11/C11*1000</f>
        <v>191.419141914191</v>
      </c>
      <c r="G11" s="33">
        <f>'Sector kindergarten'!E12</f>
        <v>349</v>
      </c>
      <c r="H11" s="44">
        <f>G11/C11*1000</f>
        <v>143.976897689769</v>
      </c>
      <c r="I11" s="33">
        <f>'Sector kindergarten'!I12</f>
        <v>3925</v>
      </c>
      <c r="J11" s="33">
        <f>SUM(P11:U11)</f>
        <v>19881</v>
      </c>
      <c r="K11" s="44">
        <f>I11/J11*1000</f>
        <v>197.424676827121</v>
      </c>
      <c r="L11" s="33">
        <f>'Sector kindergarten'!M12</f>
        <v>64797</v>
      </c>
      <c r="M11" s="32" t="n">
        <v>329905</v>
      </c>
      <c r="N11" s="44">
        <f>L11/M11*1000</f>
        <v>196.411088040497</v>
      </c>
      <c r="P11" s="32" t="n">
        <v>2424</v>
      </c>
      <c r="Q11" s="32" t="n">
        <v>5103</v>
      </c>
      <c r="R11" s="32" t="n">
        <v>789</v>
      </c>
      <c r="S11" s="32" t="n">
        <v>2681</v>
      </c>
      <c r="T11" s="32" t="n">
        <v>1496</v>
      </c>
      <c r="U11" s="32" t="n">
        <v>7388</v>
      </c>
      <c r="W11" s="30" t="inlineStr">
        <is>
          <t>“And a smaller share of the children who live here start at these five schools, about 15% smaller than in 2016 to 2019.”</t>
        </is>
      </c>
    </row>
    <row r="12">
      <c r="A12" s="31" t="n">
        <v>2023</v>
      </c>
      <c r="B12" s="33">
        <f>'Kindergarten'!H22</f>
        <v>426</v>
      </c>
      <c r="C12" s="32" t="n">
        <v>2403</v>
      </c>
      <c r="D12" s="44">
        <f>B12/C12*1000</f>
        <v>177.278401997503</v>
      </c>
      <c r="E12" s="33">
        <f>'Sector kindergarten'!E13+'Kindergarten'!F22</f>
        <v>441</v>
      </c>
      <c r="F12" s="44">
        <f>E12/C12*1000</f>
        <v>183.520599250936</v>
      </c>
      <c r="G12" s="33">
        <f>'Sector kindergarten'!E13</f>
        <v>323</v>
      </c>
      <c r="H12" s="44">
        <f>G12/C12*1000</f>
        <v>134.415314190595</v>
      </c>
      <c r="I12" s="33">
        <f>'Sector kindergarten'!I13</f>
        <v>3637</v>
      </c>
      <c r="J12" s="33">
        <f>SUM(P12:U12)</f>
        <v>19402</v>
      </c>
      <c r="K12" s="44">
        <f>I12/J12*1000</f>
        <v>187.454901556541</v>
      </c>
      <c r="L12" s="33">
        <f>'Sector kindergarten'!M13</f>
        <v>63430</v>
      </c>
      <c r="M12" s="32" t="n">
        <v>328576</v>
      </c>
      <c r="N12" s="44">
        <f>L12/M12*1000</f>
        <v>193.045140241527</v>
      </c>
      <c r="P12" s="32" t="n">
        <v>2403</v>
      </c>
      <c r="Q12" s="32" t="n">
        <v>4907</v>
      </c>
      <c r="R12" s="32" t="n">
        <v>758</v>
      </c>
      <c r="S12" s="32" t="n">
        <v>2699</v>
      </c>
      <c r="T12" s="32" t="n">
        <v>1492</v>
      </c>
      <c r="U12" s="32" t="n">
        <v>7143</v>
      </c>
    </row>
    <row r="13">
      <c r="A13" s="31" t="n">
        <v>2024</v>
      </c>
      <c r="B13" s="33">
        <f>'Kindergarten'!H23</f>
        <v>417</v>
      </c>
      <c r="C13" s="32" t="n">
        <v>2392</v>
      </c>
      <c r="D13" s="44">
        <f>B13/C13*1000</f>
        <v>174.33110367893</v>
      </c>
      <c r="E13" s="33">
        <f>'Sector kindergarten'!E14+'Kindergarten'!F23</f>
        <v>429</v>
      </c>
      <c r="F13" s="44">
        <f>E13/C13*1000</f>
        <v>179.347826086957</v>
      </c>
      <c r="G13" s="33">
        <f>'Sector kindergarten'!E14</f>
        <v>319</v>
      </c>
      <c r="H13" s="44">
        <f>G13/C13*1000</f>
        <v>133.361204013378</v>
      </c>
      <c r="I13" s="33">
        <f>'Sector kindergarten'!I14</f>
        <v>3564</v>
      </c>
      <c r="J13" s="33">
        <f>SUM(P13:U13)</f>
        <v>19109</v>
      </c>
      <c r="K13" s="44">
        <f>I13/J13*1000</f>
        <v>186.508974828615</v>
      </c>
      <c r="L13" s="33">
        <f>'Sector kindergarten'!M14</f>
        <v>62957</v>
      </c>
      <c r="M13" s="32" t="n">
        <v>327540</v>
      </c>
      <c r="N13" s="44">
        <f>L13/M13*1000</f>
        <v>192.211638273188</v>
      </c>
      <c r="P13" s="32" t="n">
        <v>2392</v>
      </c>
      <c r="Q13" s="32" t="n">
        <v>4764</v>
      </c>
      <c r="R13" s="32" t="n">
        <v>729</v>
      </c>
      <c r="S13" s="32" t="n">
        <v>2647</v>
      </c>
      <c r="T13" s="32" t="n">
        <v>1483</v>
      </c>
      <c r="U13" s="32" t="n">
        <v>7094</v>
      </c>
    </row>
    <row r="14">
      <c r="A14" s="31" t="n">
        <v>2025</v>
      </c>
      <c r="B14" s="33">
        <f>'Kindergarten'!H24</f>
        <v>395</v>
      </c>
      <c r="C14" s="32" t="n">
        <v>2304</v>
      </c>
      <c r="D14" s="44">
        <f>B14/C14*1000</f>
        <v>171.440972222222</v>
      </c>
      <c r="E14" s="33">
        <f>'Sector kindergarten'!E15+'Kindergarten'!F24</f>
        <v>409</v>
      </c>
      <c r="F14" s="44">
        <f>E14/C14*1000</f>
        <v>177.517361111111</v>
      </c>
      <c r="G14" s="33">
        <f>'Sector kindergarten'!E15</f>
        <v>300</v>
      </c>
      <c r="H14" s="44">
        <f>G14/C14*1000</f>
        <v>130.208333333333</v>
      </c>
      <c r="I14" s="33">
        <f>'Sector kindergarten'!I15</f>
        <v>3436</v>
      </c>
      <c r="J14" s="33">
        <f>SUM(P14:U14)</f>
        <v>18491</v>
      </c>
      <c r="K14" s="44">
        <f>I14/J14*1000</f>
        <v>185.820128711265</v>
      </c>
      <c r="L14" s="33">
        <f>'Sector kindergarten'!M15</f>
        <v>61729</v>
      </c>
      <c r="M14" s="32" t="n">
        <v>325298</v>
      </c>
      <c r="N14" s="44">
        <f>L14/M14*1000</f>
        <v>189.761388019601</v>
      </c>
      <c r="P14" s="32" t="n">
        <v>2304</v>
      </c>
      <c r="Q14" s="32" t="n">
        <v>4488</v>
      </c>
      <c r="R14" s="32" t="n">
        <v>698</v>
      </c>
      <c r="S14" s="32" t="n">
        <v>2567</v>
      </c>
      <c r="T14" s="32" t="n">
        <v>1453</v>
      </c>
      <c r="U14" s="32" t="n">
        <v>6981</v>
      </c>
      <c r="W14" s="30" t="inlineStr">
        <is>
          <t>“The number of children aged five to nine living in Lane Cove is about where it was: 2,400 a year from 2016 to 2019 and 2,370 from 2023 to 2025.”</t>
        </is>
      </c>
    </row>
    <row r="15"/>
    <row r="16">
      <c r="A16" s="34" t="inlineStr">
        <is>
          <t>Yearly average, 2016 to 2019</t>
        </is>
      </c>
      <c r="B16" s="44">
        <f>AVERAGE(B5:B8)</f>
        <v>493.75</v>
      </c>
      <c r="C16" s="44">
        <f>AVERAGE(C5:C8)</f>
        <v>2400.5</v>
      </c>
      <c r="D16" s="44">
        <f>B16/C16*1000</f>
        <v>205.686315350969</v>
      </c>
      <c r="E16" s="44">
        <f>AVERAGE(E5:E8)</f>
        <v>509.5</v>
      </c>
      <c r="F16" s="44">
        <f>E16/C16*1000</f>
        <v>212.24744844824</v>
      </c>
      <c r="G16" s="44">
        <f>AVERAGE(G5:G8)</f>
        <v>404.5</v>
      </c>
      <c r="H16" s="44">
        <f>G16/C16*1000</f>
        <v>168.506561133097</v>
      </c>
      <c r="I16" s="44">
        <f>AVERAGE(I5:I8)</f>
        <v>4283</v>
      </c>
      <c r="J16" s="44">
        <f>AVERAGE(J5:J8)</f>
        <v>20669</v>
      </c>
      <c r="K16" s="44">
        <f>I16/J16*1000</f>
        <v>207.218539842276</v>
      </c>
      <c r="L16" s="44">
        <f>AVERAGE(L5:L8)</f>
        <v>65828</v>
      </c>
      <c r="M16" s="44">
        <f>AVERAGE(M5:M8)</f>
        <v>329120.5</v>
      </c>
      <c r="N16" s="44">
        <f>L16/M16*1000</f>
        <v>200.011849763233</v>
      </c>
      <c r="P16" s="44">
        <f>AVERAGE(P5:P8)</f>
        <v>2400.5</v>
      </c>
      <c r="Q16" s="44">
        <f>AVERAGE(Q5:Q8)</f>
        <v>5547.5</v>
      </c>
      <c r="R16" s="44">
        <f>AVERAGE(R5:R8)</f>
        <v>911.25</v>
      </c>
      <c r="S16" s="44">
        <f>AVERAGE(S5:S8)</f>
        <v>2959.25</v>
      </c>
      <c r="T16" s="44">
        <f>AVERAGE(T5:T8)</f>
        <v>1810.75</v>
      </c>
      <c r="U16" s="44">
        <f>AVERAGE(U5:U8)</f>
        <v>7039.75</v>
      </c>
    </row>
    <row r="17">
      <c r="A17" s="34" t="inlineStr">
        <is>
          <t>Yearly average, 2023 to 2025</t>
        </is>
      </c>
      <c r="B17" s="44">
        <f>AVERAGE(B12:B14)</f>
        <v>412.666666666667</v>
      </c>
      <c r="C17" s="44">
        <f>AVERAGE(C12:C14)</f>
        <v>2366.33333333333</v>
      </c>
      <c r="D17" s="44">
        <f>B17/C17*1000</f>
        <v>174.390759261868</v>
      </c>
      <c r="E17" s="44">
        <f>AVERAGE(E12:E14)</f>
        <v>426.333333333333</v>
      </c>
      <c r="F17" s="44">
        <f>E17/C17*1000</f>
        <v>180.16622059445</v>
      </c>
      <c r="G17" s="44">
        <f>AVERAGE(G12:G14)</f>
        <v>314</v>
      </c>
      <c r="H17" s="44">
        <f>G17/C17*1000</f>
        <v>132.694745738836</v>
      </c>
      <c r="I17" s="44">
        <f>AVERAGE(I12:I14)</f>
        <v>3545.66666666667</v>
      </c>
      <c r="J17" s="44">
        <f>AVERAGE(J12:J14)</f>
        <v>19000.6666666667</v>
      </c>
      <c r="K17" s="44">
        <f>I17/J17*1000</f>
        <v>186.60748745658</v>
      </c>
      <c r="L17" s="44">
        <f>AVERAGE(L12:L14)</f>
        <v>62705.3333333333</v>
      </c>
      <c r="M17" s="44">
        <f>AVERAGE(M12:M14)</f>
        <v>327138</v>
      </c>
      <c r="N17" s="44">
        <f>L17/M17*1000</f>
        <v>191.678537294149</v>
      </c>
      <c r="P17" s="44">
        <f>AVERAGE(P12:P14)</f>
        <v>2366.33333333333</v>
      </c>
      <c r="Q17" s="44">
        <f>AVERAGE(Q12:Q14)</f>
        <v>4719.66666666667</v>
      </c>
      <c r="R17" s="44">
        <f>AVERAGE(R12:R14)</f>
        <v>728.333333333333</v>
      </c>
      <c r="S17" s="44">
        <f>AVERAGE(S12:S14)</f>
        <v>2637.66666666667</v>
      </c>
      <c r="T17" s="44">
        <f>AVERAGE(T12:T14)</f>
        <v>1476</v>
      </c>
      <c r="U17" s="44">
        <f>AVERAGE(U12:U14)</f>
        <v>7072.66666666667</v>
      </c>
      <c r="W17" s="30" t="inlineStr">
        <is>
          <t>“Kindergarten at the five schools fell much further, from 494 a year to 413.”</t>
        </is>
      </c>
    </row>
    <row r="18" ht="28.5" customHeight="1">
      <c r="A18" s="34" t="inlineStr">
        <is>
          <t>Change between the two periods</t>
        </is>
      </c>
      <c r="B18" s="37">
        <f>B17/B16-1</f>
        <v>-0.1642194092827</v>
      </c>
      <c r="C18" s="37">
        <f>C17/C16-1</f>
        <v>-0.0142331458723877</v>
      </c>
      <c r="D18" s="37">
        <f>D17/D16-1</f>
        <v>-0.152151863072175</v>
      </c>
      <c r="E18" s="37">
        <f>E17/E16-1</f>
        <v>-0.163231926725548</v>
      </c>
      <c r="F18" s="37">
        <f>F17/F16-1</f>
        <v>-0.151150122596709</v>
      </c>
      <c r="G18" s="37">
        <f>G17/G16-1</f>
        <v>-0.223733003708282</v>
      </c>
      <c r="H18" s="37">
        <f>H17/H16-1</f>
        <v>-0.212524753656176</v>
      </c>
      <c r="I18" s="37">
        <f>I17/I16-1</f>
        <v>-0.172153474978598</v>
      </c>
      <c r="J18" s="37">
        <f>J17/J16-1</f>
        <v>-0.0807166932765655</v>
      </c>
      <c r="K18" s="37">
        <f>K17/K16-1</f>
        <v>-0.0994652910950125</v>
      </c>
      <c r="L18" s="37">
        <f>L17/L16-1</f>
        <v>-0.0474367543699742</v>
      </c>
      <c r="M18" s="37">
        <f>M17/M16-1</f>
        <v>-0.00602362964324621</v>
      </c>
      <c r="N18" s="37">
        <f>N17/N16-1</f>
        <v>-0.0416640937971839</v>
      </c>
      <c r="P18" s="37">
        <f>P17/P16-1</f>
        <v>-0.0142331458723877</v>
      </c>
      <c r="Q18" s="37">
        <f>Q17/Q16-1</f>
        <v>-0.14922637824846</v>
      </c>
      <c r="R18" s="37">
        <f>R17/R16-1</f>
        <v>-0.200731595793324</v>
      </c>
      <c r="S18" s="37">
        <f>S17/S16-1</f>
        <v>-0.108670552786461</v>
      </c>
      <c r="T18" s="37">
        <f>T17/T16-1</f>
        <v>-0.184868148557228</v>
      </c>
      <c r="U18" s="37">
        <f>U17/U16-1</f>
        <v>0.0046758289238491</v>
      </c>
    </row>
    <row r="19">
      <c r="W19" s="30" t="inlineStr">
        <is>
          <t>“For every 1,000 children aged five to nine living here, the five schools (Mowbray included) took 206 into kindergarten each year from 2016 to 2019, and 174 from 2023 to 2025, a fall of 15%.”</t>
        </is>
      </c>
    </row>
    <row r="20" ht="28" customHeight="1">
      <c r="A20" s="34" t="inlineStr">
        <is>
          <t>Five schools per 1,000: lowest year, 2016 to 2021</t>
        </is>
      </c>
      <c r="B20" s="46" t="n"/>
      <c r="C20" s="47" t="n"/>
      <c r="D20" s="44">
        <f>MIN(D5:D10)</f>
        <v>186.4</v>
      </c>
    </row>
    <row r="21" ht="28" customHeight="1">
      <c r="A21" s="34" t="inlineStr">
        <is>
          <t>Five schools per 1,000: highest year, 2022 to 2025</t>
        </is>
      </c>
      <c r="B21" s="46" t="n"/>
      <c r="C21" s="47" t="n"/>
      <c r="D21" s="44">
        <f>MAX(D11:D14)</f>
        <v>183.168316831683</v>
      </c>
    </row>
    <row r="22" ht="28" customHeight="1">
      <c r="A22" s="34" t="inlineStr">
        <is>
          <t>Was each of the last four intakes (2022 to 2025) lower than every year from 2016 to 2021?</t>
        </is>
      </c>
      <c r="B22" s="46" t="n"/>
      <c r="C22" s="47" t="n"/>
      <c r="D22" s="41" t="str">
        <f>IF(D21&lt;D20,"Yes","No")</f>
        <v>Yes</v>
      </c>
    </row>
    <row r="23">
      <c r="W23" s="30" t="inlineStr">
        <is>
          <t>From an earlier draft of the article, now only in this workbook: “Counting every school in each area, the figure across the six councils went from 207 to 187, and across Greater Sydney from 200 to 192.”</t>
        </is>
      </c>
    </row>
    <row r="24">
      <c r="A24" s="34" t="inlineStr">
        <is>
          <t>By council, as in the article's chart: kindergarten per 1,000 children aged 5 to 9</t>
        </is>
      </c>
      <c r="B24" s="46" t="n"/>
      <c r="C24" s="46" t="n"/>
      <c r="D24" s="46" t="n"/>
      <c r="E24" s="46" t="n"/>
      <c r="F24" s="46" t="n"/>
      <c r="G24" s="46" t="n"/>
      <c r="H24" s="47" t="n"/>
    </row>
    <row r="25" ht="42" customHeight="1">
      <c r="A25" s="26" t="inlineStr">
        <is>
          <t>Area</t>
        </is>
      </c>
      <c r="B25" s="26" t="inlineStr">
        <is>
          <t>Kindergarten, average 2016 to 2019</t>
        </is>
      </c>
      <c r="C25" s="26" t="inlineStr">
        <is>
          <t>Kindergarten, average 2023 to 2025</t>
        </is>
      </c>
      <c r="D25" s="26" t="inlineStr">
        <is>
          <t>Children aged 5 to 9, average 2016 to 2019</t>
        </is>
      </c>
      <c r="E25" s="26" t="inlineStr">
        <is>
          <t>Children aged 5 to 9, average 2023 to 2025</t>
        </is>
      </c>
      <c r="F25" s="26" t="inlineStr">
        <is>
          <t>Per 1,000, 2016 to 2019</t>
        </is>
      </c>
      <c r="G25" s="26" t="inlineStr">
        <is>
          <t>Per 1,000, 2023 to 2025</t>
        </is>
      </c>
      <c r="H25" s="26" t="inlineStr">
        <is>
          <t>Change</t>
        </is>
      </c>
    </row>
    <row r="26" ht="28.5" customHeight="1">
      <c r="A26" s="34" t="inlineStr">
        <is>
          <t>North Sydney, every school located there</t>
        </is>
      </c>
      <c r="B26" s="44">
        <f>AVERAGE('Schools in the six councils'!E83:H83)</f>
        <v>783.75</v>
      </c>
      <c r="C26" s="44">
        <f>AVERAGE('Schools in the six councils'!L83:N83)</f>
        <v>635.333333333333</v>
      </c>
      <c r="D26" s="44">
        <f>S16</f>
        <v>2959.25</v>
      </c>
      <c r="E26" s="44">
        <f>S17</f>
        <v>2637.66666666667</v>
      </c>
      <c r="F26" s="44">
        <f>B26/D26*1000</f>
        <v>264.847512038523</v>
      </c>
      <c r="G26" s="44">
        <f>C26/E26*1000</f>
        <v>240.869455326678</v>
      </c>
      <c r="H26" s="37">
        <f>G26/F26-1</f>
        <v>-0.0905353292816958</v>
      </c>
    </row>
    <row r="27" ht="28.5" customHeight="1">
      <c r="A27" s="34" t="inlineStr">
        <is>
          <t>Hunters Hill, every school located there</t>
        </is>
      </c>
      <c r="B27" s="44">
        <f>AVERAGE('Schools in the six councils'!E79:H79)</f>
        <v>203.5</v>
      </c>
      <c r="C27" s="44">
        <f>AVERAGE('Schools in the six councils'!L79:N79)</f>
        <v>154</v>
      </c>
      <c r="D27" s="44">
        <f>R16</f>
        <v>911.25</v>
      </c>
      <c r="E27" s="44">
        <f>R17</f>
        <v>728.333333333333</v>
      </c>
      <c r="F27" s="44">
        <f>B27/D27*1000</f>
        <v>223.319615912209</v>
      </c>
      <c r="G27" s="44">
        <f>C27/E27*1000</f>
        <v>211.441647597254</v>
      </c>
      <c r="H27" s="37">
        <f>G27/F27-1</f>
        <v>-0.0531881996412887</v>
      </c>
      <c r="W27" s="30" t="inlineStr">
        <is>
          <t>“Measured this way, each of the last four intakes was lower than any year from 2016 to 2021.”</t>
        </is>
      </c>
    </row>
    <row r="28" ht="28.5" customHeight="1">
      <c r="A28" s="34" t="inlineStr">
        <is>
          <t>Ryde, every school located there</t>
        </is>
      </c>
      <c r="B28" s="44">
        <f>AVERAGE('Schools in the six councils'!E91:H91)</f>
        <v>1536</v>
      </c>
      <c r="C28" s="44">
        <f>AVERAGE('Schools in the six councils'!L91:N91)</f>
        <v>1433</v>
      </c>
      <c r="D28" s="44">
        <f>U16</f>
        <v>7039.75</v>
      </c>
      <c r="E28" s="44">
        <f>U17</f>
        <v>7072.66666666667</v>
      </c>
      <c r="F28" s="44">
        <f>B28/D28*1000</f>
        <v>218.189566390852</v>
      </c>
      <c r="G28" s="44">
        <f>C28/E28*1000</f>
        <v>202.610990668301</v>
      </c>
      <c r="H28" s="37">
        <f>G28/F28-1</f>
        <v>-0.0713992698195517</v>
      </c>
    </row>
    <row r="29" ht="28.5" customHeight="1">
      <c r="A29" s="34" t="inlineStr">
        <is>
          <t>Mosman, every school located there</t>
        </is>
      </c>
      <c r="B29" s="44">
        <f>AVERAGE('Schools in the six councils'!E87:H87)</f>
        <v>401.75</v>
      </c>
      <c r="C29" s="44">
        <f>AVERAGE('Schools in the six councils'!L87:N87)</f>
        <v>283.666666666667</v>
      </c>
      <c r="D29" s="44">
        <f>T16</f>
        <v>1810.75</v>
      </c>
      <c r="E29" s="44">
        <f>T17</f>
        <v>1476</v>
      </c>
      <c r="F29" s="44">
        <f>B29/D29*1000</f>
        <v>221.869391136269</v>
      </c>
      <c r="G29" s="44">
        <f>C29/E29*1000</f>
        <v>192.186088527552</v>
      </c>
      <c r="H29" s="37">
        <f>G29/F29-1</f>
        <v>-0.133787281141843</v>
      </c>
    </row>
    <row r="30" ht="28.5" customHeight="1">
      <c r="A30" s="34" t="inlineStr">
        <is>
          <t>Lane Cove (five schools, Mowbray included)</t>
        </is>
      </c>
      <c r="B30" s="44">
        <f>B16</f>
        <v>493.75</v>
      </c>
      <c r="C30" s="44">
        <f>B17</f>
        <v>412.666666666667</v>
      </c>
      <c r="D30" s="44">
        <f>C16</f>
        <v>2400.5</v>
      </c>
      <c r="E30" s="44">
        <f>C17</f>
        <v>2366.33333333333</v>
      </c>
      <c r="F30" s="44">
        <f>B30/D30*1000</f>
        <v>205.686315350969</v>
      </c>
      <c r="G30" s="44">
        <f>C30/E30*1000</f>
        <v>174.390759261868</v>
      </c>
      <c r="H30" s="37">
        <f>G30/F30-1</f>
        <v>-0.152151863072175</v>
      </c>
      <c r="W30" s="30" t="inlineStr">
        <is>
          <t>From an earlier draft of the article, now only in this workbook: “Split by the people on each side of the boundary, the fall would be about 17% to 20% rather than 15%.”</t>
        </is>
      </c>
    </row>
    <row r="31" ht="28.5" customHeight="1">
      <c r="A31" s="34" t="inlineStr">
        <is>
          <t>Willoughby, every school located there</t>
        </is>
      </c>
      <c r="B31" s="44">
        <f>AVERAGE('Schools in the six councils'!E75:H75)</f>
        <v>953.5</v>
      </c>
      <c r="C31" s="44">
        <f>AVERAGE('Schools in the six councils'!L75:N75)</f>
        <v>725.666666666667</v>
      </c>
      <c r="D31" s="44">
        <f>Q16</f>
        <v>5547.5</v>
      </c>
      <c r="E31" s="44">
        <f>Q17</f>
        <v>4719.66666666667</v>
      </c>
      <c r="F31" s="44">
        <f>B31/D31*1000</f>
        <v>171.87922487607</v>
      </c>
      <c r="G31" s="44">
        <f>C31/E31*1000</f>
        <v>153.753796172046</v>
      </c>
      <c r="H31" s="37">
        <f>G31/F31-1</f>
        <v>-0.105454447546486</v>
      </c>
    </row>
    <row r="32" ht="28" customHeight="1">
      <c r="A32" s="34" t="inlineStr">
        <is>
          <t>Greater Sydney</t>
        </is>
      </c>
      <c r="B32" s="44">
        <f>L16</f>
        <v>65828</v>
      </c>
      <c r="C32" s="44">
        <f>L17</f>
        <v>62705.3333333333</v>
      </c>
      <c r="D32" s="44">
        <f>M16</f>
        <v>329120.5</v>
      </c>
      <c r="E32" s="44">
        <f>M17</f>
        <v>327138</v>
      </c>
      <c r="F32" s="44">
        <f>B32/D32*1000</f>
        <v>200.011849763233</v>
      </c>
      <c r="G32" s="44">
        <f>C32/E32*1000</f>
        <v>191.678537294149</v>
      </c>
      <c r="H32" s="37">
        <f>G32/F32-1</f>
        <v>-0.0416640937971839</v>
      </c>
    </row>
    <row r="33" ht="41.25" customHeight="1">
      <c r="A33" s="34" t="inlineStr">
        <is>
          <t>All six councils, every school (Mowbray once, in Willoughby)</t>
        </is>
      </c>
      <c r="B33" s="44">
        <f>I16</f>
        <v>4283</v>
      </c>
      <c r="C33" s="44">
        <f>I17</f>
        <v>3545.66666666667</v>
      </c>
      <c r="D33" s="44">
        <f>J16</f>
        <v>20669</v>
      </c>
      <c r="E33" s="44">
        <f>J17</f>
        <v>19000.6666666667</v>
      </c>
      <c r="F33" s="44">
        <f>B33/D33*1000</f>
        <v>207.218539842276</v>
      </c>
      <c r="G33" s="44">
        <f>C33/E33*1000</f>
        <v>186.60748745658</v>
      </c>
      <c r="H33" s="37">
        <f>G33/F33-1</f>
        <v>-0.0994652910950125</v>
      </c>
      <c r="W33" s="27" t="inlineStr">
        <is>
          <t>How the figures are worked out</t>
        </is>
      </c>
    </row>
    <row r="34">
      <c r="W34" s="4" t="inlineStr">
        <is>
          <t>Kindergarten is the ACARA 'One year before Year 1' headcount at schools located in the area, all sectors (August). Children aged 5 to 9 are ABS estimates for 30 June of the same year.</t>
        </is>
      </c>
    </row>
    <row r="35"/>
    <row r="36"/>
    <row r="37">
      <c r="W37" s="3" t="inlineStr">
        <is>
          <t>The five schools (column B) are the article's: Lane Cove Public, Lane Cove West Public, Greenwich Public, St Michael's Catholic Primary and Mowbray Public (the Kindergarten sheet's column H). Mowbray is in Willoughby council area, just over the boundary; Currambena, the council area's only independent school with a kindergarten, is not one of the five.</t>
        </is>
      </c>
    </row>
    <row r="38"/>
    <row r="39"/>
    <row r="40"/>
    <row r="41"/>
    <row r="42">
      <c r="W42" s="3" t="inlineStr">
        <is>
          <t>Column E adds all of Mowbray to the council area's own five kindergartens (with Currambena). Column G is the council area's own schools only, the measure in drafts before 21 October 2026. Counting all of Mowbray flatters Lane Cove, because part of its catchment is in Willoughby: the Mowbray and the boundary sheet works out a split.</t>
        </is>
      </c>
    </row>
    <row r="43"/>
    <row r="44"/>
    <row r="45"/>
    <row r="46"/>
    <row r="47">
      <c r="W47" s="3" t="inlineStr">
        <is>
          <t>From the article's chart note (moved here 23 Oct 2026): about three-quarters of the people in Mowbray's catchment lived in Lane Cove council area on the catchment map used up to 2021, and about two-thirds on the map used since (2021 Census). So counting all of Mowbray flatters Lane Cove: split by the people or young children on each side of the line, Lane Cove's fall would be about 17% to 20%. Taking Mowbray out of Willoughby instead puts Willoughby's fall at about 15%, level with Lane Cove's. A council's level depends heavily on where its schools sit (private schools draw from across the area), so read the levels with care. Children cross council boundaries in both directions. One year of starters against five years of children, so Greater Sydney sits close to 200. In the chart the six councils are sorted by their 2023-25 figure, highest first.</t>
        </is>
      </c>
    </row>
    <row r="48"/>
    <row r="49"/>
    <row r="50"/>
    <row r="51"/>
    <row r="52"/>
    <row r="53"/>
    <row r="54"/>
    <row r="55"/>
    <row r="56"/>
    <row r="57"/>
    <row r="58">
      <c r="W58" s="3" t="inlineStr">
        <is>
          <t>The period ratio divides the average yearly kindergarten by the average number of children aged 5 to 9 in the same years: 2016 to 2019 against 2023 to 2025. Per 1,000, so the rounded figures read close to the change worked out before rounding.</t>
        </is>
      </c>
    </row>
    <row r="59"/>
    <row r="60"/>
    <row r="61"/>
    <row r="62">
      <c r="W62" s="4" t="inlineStr">
        <is>
          <t>The six councils' children aged 5 to 9 (column J) add up the ABS persons aged 5 to 9 at 30 June for each council, in columns P to U (Regional population by age and sex 2025, 32350DS0006, Table 3). Their kindergarten counts Mowbray once, in Willoughby.</t>
        </is>
      </c>
    </row>
    <row r="63"/>
    <row r="64"/>
    <row r="65"/>
    <row r="66">
      <c r="W66" s="4" t="inlineStr">
        <is>
          <t>Greater Sydney's children aged 5 to 9 are the ABS estimate for the Greater Sydney area (ABS Data API, area code 1GSYD): the ABS's own figure for the area as a whole, not a sum of council-area figures.</t>
        </is>
      </c>
    </row>
    <row r="67"/>
    <row r="68"/>
    <row r="69"/>
    <row r="70">
      <c r="W70" s="3" t="inlineStr">
        <is>
          <t>The block under the averages is the article's chart: Lane Cove as the five schools, every other council as every school located there, then the two comparisons. Single councils mostly show where schools sit, not where children live, because catchments and private schools cross council lines.</t>
        </is>
      </c>
    </row>
    <row r="71"/>
    <row r="72"/>
    <row r="73"/>
    <row r="74"/>
    <row r="75">
      <c r="W75" s="4" t="inlineStr">
        <is>
          <t>ABS estimates for 2022 to 2024 are revised and 2025 is preliminary. Between the 2024 and 2025 releases, Lane Cove's 2022 to 2024 figures moved by +4, +8 and +13 (our 20 October 2026 review). All estimates after 2021 will be revised again after the 2026 Census.</t>
        </is>
      </c>
    </row>
    <row r="76"/>
    <row r="77"/>
    <row r="78"/>
    <row r="79">
      <c r="W79" s="3" t="inlineStr">
        <is>
          <t>From an earlier draft of the article, now only in this workbook: "That is our arithmetic from ACARA and ABS figures, not an official measure, and it is rough: kindergarten is one year of age while the population figure covers five."</t>
        </is>
      </c>
    </row>
    <row r="80"/>
    <row r="81"/>
    <row r="82"/>
    <row r="83">
      <c r="W83" s="27" t="inlineStr">
        <is>
          <t>Sources</t>
        </is>
      </c>
    </row>
    <row r="84">
      <c r="W84" s="42" t="inlineStr">
        <is>
          <t>ACARA Data Access Program: Enrolments by Grade 2008-2025 and School Locations 2025</t>
        </is>
      </c>
    </row>
    <row r="85">
      <c r="W85" s="42" t="inlineStr">
        <is>
          <t>ABS Regional population by age and sex 2025 (32350DS0006)</t>
        </is>
      </c>
    </row>
    <row r="86">
      <c r="W86" s="42" t="inlineStr">
        <is>
          <t>ABS Data API: estimated resident population by age, Greater Sydney (ERP_ASGS2021)</t>
        </is>
      </c>
    </row>
  </sheetData>
  <mergeCells count="22">
    <mergeCell ref="W62:W64"/>
    <mergeCell ref="W5:W6"/>
    <mergeCell ref="A24:H24"/>
    <mergeCell ref="W58:W60"/>
    <mergeCell ref="W30:W31"/>
    <mergeCell ref="W37:W40"/>
    <mergeCell ref="A21:C21"/>
    <mergeCell ref="W23:W25"/>
    <mergeCell ref="A22:C22"/>
    <mergeCell ref="W19:W21"/>
    <mergeCell ref="A20:C20"/>
    <mergeCell ref="W11:W12"/>
    <mergeCell ref="W8:W9"/>
    <mergeCell ref="W14:W15"/>
    <mergeCell ref="W70:W73"/>
    <mergeCell ref="W27:W28"/>
    <mergeCell ref="W47:W56"/>
    <mergeCell ref="W42:W45"/>
    <mergeCell ref="W79:W81"/>
    <mergeCell ref="W66:W68"/>
    <mergeCell ref="W34:W35"/>
    <mergeCell ref="W75:W77"/>
  </mergeCells>
  <hyperlinks>
    <hyperlink xmlns:r="http://schemas.openxmlformats.org/officeDocument/2006/relationships" ref="A2" r:id="rId1"/>
    <hyperlink xmlns:r="http://schemas.openxmlformats.org/officeDocument/2006/relationships" ref="W34" r:id="rId2"/>
    <hyperlink xmlns:r="http://schemas.openxmlformats.org/officeDocument/2006/relationships" ref="W62" r:id="rId3"/>
    <hyperlink xmlns:r="http://schemas.openxmlformats.org/officeDocument/2006/relationships" ref="W66" r:id="rId4"/>
    <hyperlink xmlns:r="http://schemas.openxmlformats.org/officeDocument/2006/relationships" ref="W75" r:id="rId5"/>
    <hyperlink xmlns:r="http://schemas.openxmlformats.org/officeDocument/2006/relationships" ref="W84" r:id="rId6"/>
    <hyperlink xmlns:r="http://schemas.openxmlformats.org/officeDocument/2006/relationships" ref="W85" r:id="rId7"/>
    <hyperlink xmlns:r="http://schemas.openxmlformats.org/officeDocument/2006/relationships" ref="W86" r:id="rId8"/>
  </hyperlinks>
  <printOptions gridLines="0"/>
  <pageMargins left="0.75" right="0.75" top="1" bottom="1" header="0.5" footer="0.5"/>
  <pageSetup orientation="landscape" paperSize="9" fitToHeight="0" fitToWidth="1"/>
</worksheet>
</file>

<file path=xl/worksheets/sheet16.xml><?xml version="1.0" encoding="utf-8"?>
<worksheet xmlns="http://schemas.openxmlformats.org/spreadsheetml/2006/main">
  <sheetPr>
    <outlinePr summaryBelow="1" summaryRight="1"/>
    <pageSetUpPr fitToPage="1"/>
  </sheetPr>
  <dimension ref="A1:N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6" customWidth="1" min="2" max="2"/>
    <col width="13" customWidth="1" min="3" max="3"/>
    <col width="13" customWidth="1" min="4" max="4"/>
    <col width="11" customWidth="1" min="5" max="5"/>
    <col width="14" customWidth="1" min="6" max="6"/>
    <col width="14" customWidth="1" min="7" max="7"/>
    <col width="11" customWidth="1" min="8" max="8"/>
    <col width="22" customWidth="1" min="9" max="9"/>
    <col width="13" customWidth="1" min="10" max="10"/>
    <col width="13" customWidth="1" min="11" max="11"/>
    <col width="11" customWidth="1" min="12" max="12"/>
    <col width="3" customWidth="1" min="13" max="13"/>
    <col width="95" customWidth="1" min="14" max="14"/>
  </cols>
  <sheetData>
    <row r="1">
      <c r="A1" s="7" t="inlineStr">
        <is>
          <t>Children in three parts of the council area, and the matching schools' kindergarten</t>
        </is>
      </c>
    </row>
    <row r="2">
      <c r="A2" s="25" t="inlineStr">
        <is>
          <t>ABS estimated resident population at 30 June for the two ABS areas (SA2s) inside the council area, Lane Cove and Greenwich - Riverview; the rest of the council area is the council-area figure less those two.</t>
        </is>
      </c>
    </row>
    <row r="3"/>
    <row r="4" ht="56" customHeight="1">
      <c r="A4" s="26" t="inlineStr">
        <is>
          <t>Year (30 June)</t>
        </is>
      </c>
      <c r="B4" s="26" t="inlineStr">
        <is>
          <t>Council area: aged 0 to 4</t>
        </is>
      </c>
      <c r="C4" s="26" t="inlineStr">
        <is>
          <t>Council area: aged 5 to 9</t>
        </is>
      </c>
      <c r="D4" s="26" t="inlineStr">
        <is>
          <t>Greenwich - Riverview: aged 0 to 4</t>
        </is>
      </c>
      <c r="E4" s="26" t="inlineStr">
        <is>
          <t>Greenwich - Riverview: aged 5 to 9</t>
        </is>
      </c>
      <c r="F4" s="26" t="inlineStr">
        <is>
          <t>Lane Cove (ABS area): aged 0 to 4</t>
        </is>
      </c>
      <c r="G4" s="26" t="inlineStr">
        <is>
          <t>Lane Cove (ABS area): aged 5 to 9</t>
        </is>
      </c>
      <c r="H4" s="26" t="inlineStr">
        <is>
          <t>Rest of the council area: aged 0 to 4</t>
        </is>
      </c>
      <c r="I4" s="26" t="inlineStr">
        <is>
          <t>Rest of the council area: aged 5 to 9</t>
        </is>
      </c>
      <c r="N4" s="27" t="inlineStr">
        <is>
          <t>In the article</t>
        </is>
      </c>
    </row>
    <row r="5">
      <c r="A5" s="31" t="n">
        <v>2011</v>
      </c>
      <c r="B5" s="32" t="n">
        <v>2266</v>
      </c>
      <c r="C5" s="32" t="n">
        <v>2059</v>
      </c>
      <c r="D5" s="32" t="n">
        <v>704</v>
      </c>
      <c r="E5" s="32" t="n">
        <v>838</v>
      </c>
      <c r="F5" s="32" t="n">
        <v>941</v>
      </c>
      <c r="G5" s="32" t="n">
        <v>827</v>
      </c>
      <c r="H5" s="33">
        <f>B5-D5-F5</f>
        <v>621</v>
      </c>
      <c r="I5" s="33">
        <f>C5-E5-G5</f>
        <v>394</v>
      </c>
      <c r="N5" s="30" t="inlineStr">
        <is>
          <t>“The area-by-area figures are in our spreadsheet.”</t>
        </is>
      </c>
    </row>
    <row r="6">
      <c r="A6" s="31" t="n">
        <v>2012</v>
      </c>
      <c r="B6" s="32" t="n">
        <v>2280</v>
      </c>
      <c r="C6" s="32" t="n">
        <v>2095</v>
      </c>
      <c r="D6" s="32" t="n">
        <v>708</v>
      </c>
      <c r="E6" s="32" t="n">
        <v>834</v>
      </c>
      <c r="F6" s="32" t="n">
        <v>932</v>
      </c>
      <c r="G6" s="32" t="n">
        <v>869</v>
      </c>
      <c r="H6" s="33">
        <f>B6-D6-F6</f>
        <v>640</v>
      </c>
      <c r="I6" s="33">
        <f>C6-E6-G6</f>
        <v>392</v>
      </c>
    </row>
    <row r="7">
      <c r="A7" s="31" t="n">
        <v>2013</v>
      </c>
      <c r="B7" s="32" t="n">
        <v>2278</v>
      </c>
      <c r="C7" s="32" t="n">
        <v>2154</v>
      </c>
      <c r="D7" s="32" t="n">
        <v>689</v>
      </c>
      <c r="E7" s="32" t="n">
        <v>852</v>
      </c>
      <c r="F7" s="32" t="n">
        <v>939</v>
      </c>
      <c r="G7" s="32" t="n">
        <v>880</v>
      </c>
      <c r="H7" s="33">
        <f>B7-D7-F7</f>
        <v>650</v>
      </c>
      <c r="I7" s="33">
        <f>C7-E7-G7</f>
        <v>422</v>
      </c>
      <c r="N7" s="27" t="inlineStr">
        <is>
          <t>How the figures are worked out</t>
        </is>
      </c>
    </row>
    <row r="8">
      <c r="A8" s="31" t="n">
        <v>2014</v>
      </c>
      <c r="B8" s="32" t="n">
        <v>2334</v>
      </c>
      <c r="C8" s="32" t="n">
        <v>2178</v>
      </c>
      <c r="D8" s="32" t="n">
        <v>679</v>
      </c>
      <c r="E8" s="32" t="n">
        <v>846</v>
      </c>
      <c r="F8" s="32" t="n">
        <v>978</v>
      </c>
      <c r="G8" s="32" t="n">
        <v>893</v>
      </c>
      <c r="H8" s="33">
        <f>B8-D8-F8</f>
        <v>677</v>
      </c>
      <c r="I8" s="33">
        <f>C8-E8-G8</f>
        <v>439</v>
      </c>
      <c r="N8" s="4" t="inlineStr">
        <is>
          <t>The ABS estimates children by age for small areas (SA2s), two of them here: Lane Cove (code 121011686) and Greenwich - Riverview (121011685), both inside the council area. The rest of it is the ABS council-area figure less those two, by formula (columns H and I). Small-area estimates are modelled by the ABS; the changes are our arithmetic.</t>
        </is>
      </c>
    </row>
    <row r="9">
      <c r="A9" s="31" t="n">
        <v>2015</v>
      </c>
      <c r="B9" s="32" t="n">
        <v>2398</v>
      </c>
      <c r="C9" s="32" t="n">
        <v>2251</v>
      </c>
      <c r="D9" s="32" t="n">
        <v>677</v>
      </c>
      <c r="E9" s="32" t="n">
        <v>867</v>
      </c>
      <c r="F9" s="32" t="n">
        <v>1004</v>
      </c>
      <c r="G9" s="32" t="n">
        <v>940</v>
      </c>
      <c r="H9" s="33">
        <f>B9-D9-F9</f>
        <v>717</v>
      </c>
      <c r="I9" s="33">
        <f>C9-E9-G9</f>
        <v>444</v>
      </c>
    </row>
    <row r="10">
      <c r="A10" s="31" t="n">
        <v>2016</v>
      </c>
      <c r="B10" s="32" t="n">
        <v>2607</v>
      </c>
      <c r="C10" s="32" t="n">
        <v>2261</v>
      </c>
      <c r="D10" s="32" t="n">
        <v>755</v>
      </c>
      <c r="E10" s="32" t="n">
        <v>871</v>
      </c>
      <c r="F10" s="32" t="n">
        <v>1089</v>
      </c>
      <c r="G10" s="32" t="n">
        <v>948</v>
      </c>
      <c r="H10" s="33">
        <f>B10-D10-F10</f>
        <v>763</v>
      </c>
      <c r="I10" s="33">
        <f>C10-E10-G10</f>
        <v>442</v>
      </c>
    </row>
    <row r="11">
      <c r="A11" s="31" t="n">
        <v>2017</v>
      </c>
      <c r="B11" s="32" t="n">
        <v>2650</v>
      </c>
      <c r="C11" s="32" t="n">
        <v>2377</v>
      </c>
      <c r="D11" s="32" t="n">
        <v>743</v>
      </c>
      <c r="E11" s="32" t="n">
        <v>861</v>
      </c>
      <c r="F11" s="32" t="n">
        <v>1097</v>
      </c>
      <c r="G11" s="32" t="n">
        <v>1009</v>
      </c>
      <c r="H11" s="33">
        <f>B11-D11-F11</f>
        <v>810</v>
      </c>
      <c r="I11" s="33">
        <f>C11-E11-G11</f>
        <v>507</v>
      </c>
    </row>
    <row r="12">
      <c r="A12" s="31" t="n">
        <v>2018</v>
      </c>
      <c r="B12" s="32" t="n">
        <v>2633</v>
      </c>
      <c r="C12" s="32" t="n">
        <v>2469</v>
      </c>
      <c r="D12" s="32" t="n">
        <v>706</v>
      </c>
      <c r="E12" s="32" t="n">
        <v>865</v>
      </c>
      <c r="F12" s="32" t="n">
        <v>1112</v>
      </c>
      <c r="G12" s="32" t="n">
        <v>1041</v>
      </c>
      <c r="H12" s="33">
        <f>B12-D12-F12</f>
        <v>815</v>
      </c>
      <c r="I12" s="33">
        <f>C12-E12-G12</f>
        <v>563</v>
      </c>
    </row>
    <row r="13">
      <c r="A13" s="31" t="n">
        <v>2019</v>
      </c>
      <c r="B13" s="32" t="n">
        <v>2653</v>
      </c>
      <c r="C13" s="32" t="n">
        <v>2495</v>
      </c>
      <c r="D13" s="32" t="n">
        <v>683</v>
      </c>
      <c r="E13" s="32" t="n">
        <v>839</v>
      </c>
      <c r="F13" s="32" t="n">
        <v>1150</v>
      </c>
      <c r="G13" s="32" t="n">
        <v>1053</v>
      </c>
      <c r="H13" s="33">
        <f>B13-D13-F13</f>
        <v>820</v>
      </c>
      <c r="I13" s="33">
        <f>C13-E13-G13</f>
        <v>603</v>
      </c>
      <c r="N13" s="3" t="inlineStr">
        <is>
          <t>Under-fives five years earlier: the children aged 0 to 4 in 2011 to 2014 are broadly the children aged 5 to 9 in 2016 to 2019, and those in 2018 to 2020 the children aged 5 to 9 in 2023 to 2025.</t>
        </is>
      </c>
    </row>
    <row r="14">
      <c r="A14" s="31" t="n">
        <v>2020</v>
      </c>
      <c r="B14" s="32" t="n">
        <v>2558</v>
      </c>
      <c r="C14" s="32" t="n">
        <v>2500</v>
      </c>
      <c r="D14" s="32" t="n">
        <v>641</v>
      </c>
      <c r="E14" s="32" t="n">
        <v>797</v>
      </c>
      <c r="F14" s="32" t="n">
        <v>1135</v>
      </c>
      <c r="G14" s="32" t="n">
        <v>1079</v>
      </c>
      <c r="H14" s="33">
        <f>B14-D14-F14</f>
        <v>782</v>
      </c>
      <c r="I14" s="33">
        <f>C14-E14-G14</f>
        <v>624</v>
      </c>
    </row>
    <row r="15">
      <c r="A15" s="31" t="n">
        <v>2021</v>
      </c>
      <c r="B15" s="32" t="n">
        <v>2423</v>
      </c>
      <c r="C15" s="32" t="n">
        <v>2519</v>
      </c>
      <c r="D15" s="32" t="n">
        <v>586</v>
      </c>
      <c r="E15" s="32" t="n">
        <v>792</v>
      </c>
      <c r="F15" s="32" t="n">
        <v>1092</v>
      </c>
      <c r="G15" s="32" t="n">
        <v>1152</v>
      </c>
      <c r="H15" s="33">
        <f>B15-D15-F15</f>
        <v>745</v>
      </c>
      <c r="I15" s="33">
        <f>C15-E15-G15</f>
        <v>575</v>
      </c>
    </row>
    <row r="16">
      <c r="A16" s="31" t="n">
        <v>2022</v>
      </c>
      <c r="B16" s="32" t="n">
        <v>2417</v>
      </c>
      <c r="C16" s="32" t="n">
        <v>2424</v>
      </c>
      <c r="D16" s="32" t="n">
        <v>551</v>
      </c>
      <c r="E16" s="32" t="n">
        <v>758</v>
      </c>
      <c r="F16" s="32" t="n">
        <v>1100</v>
      </c>
      <c r="G16" s="32" t="n">
        <v>1098</v>
      </c>
      <c r="H16" s="33">
        <f>B16-D16-F16</f>
        <v>766</v>
      </c>
      <c r="I16" s="33">
        <f>C16-E16-G16</f>
        <v>568</v>
      </c>
    </row>
    <row r="17">
      <c r="A17" s="31" t="n">
        <v>2023</v>
      </c>
      <c r="B17" s="32" t="n">
        <v>2364</v>
      </c>
      <c r="C17" s="32" t="n">
        <v>2403</v>
      </c>
      <c r="D17" s="32" t="n">
        <v>546</v>
      </c>
      <c r="E17" s="32" t="n">
        <v>695</v>
      </c>
      <c r="F17" s="32" t="n">
        <v>1029</v>
      </c>
      <c r="G17" s="32" t="n">
        <v>1095</v>
      </c>
      <c r="H17" s="33">
        <f>B17-D17-F17</f>
        <v>789</v>
      </c>
      <c r="I17" s="33">
        <f>C17-E17-G17</f>
        <v>613</v>
      </c>
      <c r="N17" s="4" t="inlineStr">
        <is>
          <t>The suburbs in each area, and where each school's catchment lies, come from our working on the 2021 Census mesh block counts and the Department of Education's catchment map (20 October 2026 review). Greenwich Public's catchment also takes in part of North Sydney council area. Lane Cove West Public's lies wholly in the ABS's Lane Cove area.</t>
        </is>
      </c>
    </row>
    <row r="18">
      <c r="A18" s="31" t="n">
        <v>2024</v>
      </c>
      <c r="B18" s="32" t="n">
        <v>2368</v>
      </c>
      <c r="C18" s="32" t="n">
        <v>2392</v>
      </c>
      <c r="D18" s="32" t="n">
        <v>524</v>
      </c>
      <c r="E18" s="32" t="n">
        <v>660</v>
      </c>
      <c r="F18" s="32" t="n">
        <v>1030</v>
      </c>
      <c r="G18" s="32" t="n">
        <v>1108</v>
      </c>
      <c r="H18" s="33">
        <f>B18-D18-F18</f>
        <v>814</v>
      </c>
      <c r="I18" s="33">
        <f>C18-E18-G18</f>
        <v>624</v>
      </c>
    </row>
    <row r="19">
      <c r="A19" s="31" t="n">
        <v>2025</v>
      </c>
      <c r="B19" s="32" t="n">
        <v>2348</v>
      </c>
      <c r="C19" s="32" t="n">
        <v>2304</v>
      </c>
      <c r="D19" s="32" t="n">
        <v>526</v>
      </c>
      <c r="E19" s="32" t="n">
        <v>613</v>
      </c>
      <c r="F19" s="32" t="n">
        <v>993</v>
      </c>
      <c r="G19" s="32" t="n">
        <v>1045</v>
      </c>
      <c r="H19" s="33">
        <f>B19-D19-F19</f>
        <v>829</v>
      </c>
      <c r="I19" s="33">
        <f>C19-E19-G19</f>
        <v>646</v>
      </c>
    </row>
    <row r="20"/>
    <row r="21">
      <c r="A21" s="34" t="inlineStr">
        <is>
          <t>Each area: children aged 5 to 9, the under-fives five years earlier, and the matching school's kindergarten (yearly averages)</t>
        </is>
      </c>
      <c r="B21" s="46" t="n"/>
      <c r="C21" s="46" t="n"/>
      <c r="D21" s="46" t="n"/>
      <c r="E21" s="46" t="n"/>
      <c r="F21" s="46" t="n"/>
      <c r="G21" s="46" t="n"/>
      <c r="H21" s="46" t="n"/>
      <c r="I21" s="47" t="n"/>
    </row>
    <row r="22" ht="70" customHeight="1">
      <c r="A22" s="26" t="inlineStr">
        <is>
          <t>Area</t>
        </is>
      </c>
      <c r="B22" s="26" t="inlineStr">
        <is>
          <t>Suburbs</t>
        </is>
      </c>
      <c r="C22" s="26" t="inlineStr">
        <is>
          <t>Aged 5 to 9, 2016 to 2019</t>
        </is>
      </c>
      <c r="D22" s="26" t="inlineStr">
        <is>
          <t>Aged 5 to 9, 2023 to 2025</t>
        </is>
      </c>
      <c r="E22" s="26" t="inlineStr">
        <is>
          <t>Change</t>
        </is>
      </c>
      <c r="F22" s="26" t="inlineStr">
        <is>
          <t>Under five, 2011 to 2014 (five years earlier)</t>
        </is>
      </c>
      <c r="G22" s="26" t="inlineStr">
        <is>
          <t>Under five, 2018 to 2020 (five years earlier)</t>
        </is>
      </c>
      <c r="H22" s="26" t="inlineStr">
        <is>
          <t>Change</t>
        </is>
      </c>
      <c r="I22" s="26" t="inlineStr">
        <is>
          <t>Public school whose catchment lies in the area</t>
        </is>
      </c>
      <c r="J22" s="26" t="inlineStr">
        <is>
          <t>Its kindergarten, 2016 to 2019</t>
        </is>
      </c>
      <c r="K22" s="26" t="inlineStr">
        <is>
          <t>Its kindergarten, 2023 to 2025</t>
        </is>
      </c>
      <c r="L22" s="26" t="inlineStr">
        <is>
          <t>Change</t>
        </is>
      </c>
      <c r="N22" s="4" t="inlineStr">
        <is>
          <t>Kindergarten is ACARA's, from the Kindergarten sheet's yearly averages.</t>
        </is>
      </c>
    </row>
    <row r="23" ht="56" customHeight="1">
      <c r="A23" s="34" t="inlineStr">
        <is>
          <t>Greenwich - Riverview</t>
        </is>
      </c>
      <c r="B23" s="10" t="inlineStr">
        <is>
          <t>Greenwich, Longueville, Northwood, Riverview and part of St Leonards</t>
        </is>
      </c>
      <c r="C23" s="44">
        <f>AVERAGE(E10:E13)</f>
        <v>859</v>
      </c>
      <c r="D23" s="44">
        <f>AVERAGE(E17:E19)</f>
        <v>656</v>
      </c>
      <c r="E23" s="37">
        <f>D23/C23-1</f>
        <v>-0.236321303841676</v>
      </c>
      <c r="F23" s="44">
        <f>AVERAGE(D5:D8)</f>
        <v>695</v>
      </c>
      <c r="G23" s="44">
        <f>AVERAGE(D12:D14)</f>
        <v>676.666666666667</v>
      </c>
      <c r="H23" s="37">
        <f>G23/F23-1</f>
        <v>-0.0263788968824941</v>
      </c>
      <c r="I23" s="10" t="inlineStr">
        <is>
          <t>Greenwich Public</t>
        </is>
      </c>
      <c r="J23" s="44">
        <f>'Kindergarten'!D39</f>
        <v>82.25</v>
      </c>
      <c r="K23" s="44">
        <f>'Kindergarten'!D40</f>
        <v>51</v>
      </c>
      <c r="L23" s="37">
        <f>K23/J23-1</f>
        <v>-0.379939209726444</v>
      </c>
    </row>
    <row r="24" ht="56" customHeight="1">
      <c r="A24" s="34" t="inlineStr">
        <is>
          <t>Lane Cove (ABS area)</t>
        </is>
      </c>
      <c r="B24" s="10" t="inlineStr">
        <is>
          <t>Lane Cove, Lane Cove West and Linley Point</t>
        </is>
      </c>
      <c r="C24" s="44">
        <f>AVERAGE(G10:G13)</f>
        <v>1012.75</v>
      </c>
      <c r="D24" s="44">
        <f>AVERAGE(G17:G19)</f>
        <v>1082.66666666667</v>
      </c>
      <c r="E24" s="37">
        <f>D24/C24-1</f>
        <v>0.0690364519048796</v>
      </c>
      <c r="F24" s="44">
        <f>AVERAGE(F5:F8)</f>
        <v>947.5</v>
      </c>
      <c r="G24" s="44">
        <f>AVERAGE(F12:F14)</f>
        <v>1132.33333333333</v>
      </c>
      <c r="H24" s="37">
        <f>G24/F24-1</f>
        <v>0.195074758135444</v>
      </c>
      <c r="I24" s="10" t="inlineStr">
        <is>
          <t>Lane Cove West Public</t>
        </is>
      </c>
      <c r="J24" s="44">
        <f>'Kindergarten'!C39</f>
        <v>90.25</v>
      </c>
      <c r="K24" s="44">
        <f>'Kindergarten'!C40</f>
        <v>67.3333333333333</v>
      </c>
      <c r="L24" s="37">
        <f>K24/J24-1</f>
        <v>-0.253924284395199</v>
      </c>
      <c r="N24" s="3" t="inlineStr">
        <is>
          <t>From an earlier draft of the article, now only in this workbook: "That steady total hides a shift inside the council area."</t>
        </is>
      </c>
    </row>
    <row r="25" ht="56" customHeight="1">
      <c r="A25" s="34" t="inlineStr">
        <is>
          <t>Rest of the council area</t>
        </is>
      </c>
      <c r="B25" s="10" t="inlineStr">
        <is>
          <t>The council area's side of Lane Cove North and the part of St Leonards in Anzac Park's catchment</t>
        </is>
      </c>
      <c r="C25" s="44">
        <f>AVERAGE(I10:I13)</f>
        <v>528.75</v>
      </c>
      <c r="D25" s="44">
        <f>AVERAGE(I17:I19)</f>
        <v>627.666666666667</v>
      </c>
      <c r="E25" s="37">
        <f>D25/C25-1</f>
        <v>0.187076438140268</v>
      </c>
      <c r="F25" s="44">
        <f>AVERAGE(H5:H8)</f>
        <v>647</v>
      </c>
      <c r="G25" s="44">
        <f>AVERAGE(H12:H14)</f>
        <v>805.666666666667</v>
      </c>
      <c r="H25" s="37">
        <f>G25/F25-1</f>
        <v>0.245234415249871</v>
      </c>
      <c r="I25" s="10" t="inlineStr">
        <is>
          <t>Lane Cove Public's and Mowbray's catchments cross into the other areas</t>
        </is>
      </c>
      <c r="J25" s="43" t="n"/>
      <c r="K25" s="43" t="n"/>
      <c r="L25" s="43" t="n"/>
    </row>
    <row r="26"/>
    <row r="27">
      <c r="A27" s="34" t="inlineStr">
        <is>
          <t>Where the two schools' catchments lie (2021 Census people, map in use from June 2017 to December 2024)</t>
        </is>
      </c>
      <c r="B27" s="46" t="n"/>
      <c r="C27" s="46" t="n"/>
      <c r="D27" s="46" t="n"/>
      <c r="E27" s="46" t="n"/>
      <c r="F27" s="46" t="n"/>
      <c r="G27" s="46" t="n"/>
      <c r="H27" s="46" t="n"/>
      <c r="I27" s="47" t="n"/>
      <c r="N27" s="27" t="inlineStr">
        <is>
          <t>Sources</t>
        </is>
      </c>
    </row>
    <row r="28" ht="42" customHeight="1">
      <c r="A28" s="26" t="inlineStr">
        <is>
          <t>School</t>
        </is>
      </c>
      <c r="B28" s="26" t="inlineStr">
        <is>
          <t>People in its catchment inside the matching area</t>
        </is>
      </c>
      <c r="C28" s="26" t="inlineStr">
        <is>
          <t>People in its catchment elsewhere</t>
        </is>
      </c>
      <c r="D28" s="26" t="inlineStr">
        <is>
          <t>Share inside the matching area</t>
        </is>
      </c>
      <c r="N28" s="42" t="inlineStr">
        <is>
          <t>ABS Data API: estimated resident population by age, SA2s Lane Cove and Greenwich - Riverview (ERP_ASGS2021)</t>
        </is>
      </c>
    </row>
    <row r="29">
      <c r="A29" s="34" t="inlineStr">
        <is>
          <t>Greenwich Public</t>
        </is>
      </c>
      <c r="B29" s="32" t="n">
        <v>6713</v>
      </c>
      <c r="C29" s="32" t="n">
        <v>462</v>
      </c>
      <c r="D29" s="53">
        <f>B29/(B29+C29)</f>
        <v>0.935609756097561</v>
      </c>
      <c r="N29" s="42" t="inlineStr">
        <is>
          <t>ABS Regional population by age and sex 2025 (32350DS0006)</t>
        </is>
      </c>
    </row>
    <row r="30">
      <c r="A30" s="34" t="inlineStr">
        <is>
          <t>Lane Cove West Public</t>
        </is>
      </c>
      <c r="B30" s="32" t="n">
        <v>6770</v>
      </c>
      <c r="C30" s="32" t="n">
        <v>0</v>
      </c>
      <c r="D30" s="53">
        <f>B30/(B30+C30)</f>
        <v>1</v>
      </c>
      <c r="N30" s="42" t="inlineStr">
        <is>
          <t>ABS Regional population by age and sex, 2025: release page (council areas and Greater Sydney)</t>
        </is>
      </c>
    </row>
    <row r="31">
      <c r="N31" s="42" t="inlineStr">
        <is>
          <t>ABS 2021 Census mesh block counts</t>
        </is>
      </c>
    </row>
    <row r="32">
      <c r="N32" s="42" t="inlineStr">
        <is>
          <t>NSW Department of Education: school intake zones (catchment areas) for NSW government schools, on Data.NSW</t>
        </is>
      </c>
    </row>
    <row r="33">
      <c r="N33" s="42" t="inlineStr">
        <is>
          <t>ACARA Data Access Program: Enrolments by Grade 2008-2025 and School Locations 2025</t>
        </is>
      </c>
    </row>
  </sheetData>
  <mergeCells count="6">
    <mergeCell ref="N13:N15"/>
    <mergeCell ref="N17:N20"/>
    <mergeCell ref="N8:N11"/>
    <mergeCell ref="A27:I27"/>
    <mergeCell ref="N24:N25"/>
    <mergeCell ref="A21:I21"/>
  </mergeCells>
  <hyperlinks>
    <hyperlink xmlns:r="http://schemas.openxmlformats.org/officeDocument/2006/relationships" ref="A2" r:id="rId1"/>
    <hyperlink xmlns:r="http://schemas.openxmlformats.org/officeDocument/2006/relationships" ref="N8" r:id="rId2"/>
    <hyperlink xmlns:r="http://schemas.openxmlformats.org/officeDocument/2006/relationships" ref="N17" r:id="rId3"/>
    <hyperlink xmlns:r="http://schemas.openxmlformats.org/officeDocument/2006/relationships" ref="N22" r:id="rId4"/>
    <hyperlink xmlns:r="http://schemas.openxmlformats.org/officeDocument/2006/relationships" ref="N28" r:id="rId5"/>
    <hyperlink xmlns:r="http://schemas.openxmlformats.org/officeDocument/2006/relationships" ref="N29" r:id="rId6"/>
    <hyperlink xmlns:r="http://schemas.openxmlformats.org/officeDocument/2006/relationships" ref="N30" r:id="rId7"/>
    <hyperlink xmlns:r="http://schemas.openxmlformats.org/officeDocument/2006/relationships" ref="N31" r:id="rId8"/>
    <hyperlink xmlns:r="http://schemas.openxmlformats.org/officeDocument/2006/relationships" ref="N32" r:id="rId9"/>
    <hyperlink xmlns:r="http://schemas.openxmlformats.org/officeDocument/2006/relationships" ref="N33" r:id="rId10"/>
  </hyperlinks>
  <printOptions gridLines="0"/>
  <pageMargins left="0.75" right="0.75" top="1" bottom="1" header="0.5" footer="0.5"/>
  <pageSetup orientation="landscape" paperSize="9" fitToHeight="0" fitToWidth="1"/>
</worksheet>
</file>

<file path=xl/worksheets/sheet17.xml><?xml version="1.0" encoding="utf-8"?>
<worksheet xmlns="http://schemas.openxmlformats.org/spreadsheetml/2006/main">
  <sheetPr>
    <outlinePr summaryBelow="1" summaryRight="1"/>
    <pageSetUpPr fitToPage="1"/>
  </sheetPr>
  <dimension ref="A1:I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4" customWidth="1" min="6" max="6"/>
    <col width="14" customWidth="1" min="7" max="7"/>
    <col width="3" customWidth="1" min="8" max="8"/>
    <col width="95" customWidth="1" min="9" max="9"/>
  </cols>
  <sheetData>
    <row r="1">
      <c r="A1" s="7" t="inlineStr">
        <is>
          <t>The council boundary, Mowbray's catchment and a fair split of its kindergarten</t>
        </is>
      </c>
    </row>
    <row r="2">
      <c r="A2" s="25" t="inlineStr">
        <is>
          <t>People counted at the 2021 Census, placed in public school catchments with the Department of Education's catchment maps (our working on the ABS mesh block counts), and the kindergarten working behind the article's 'about 17% to 20%'.</t>
        </is>
      </c>
    </row>
    <row r="3"/>
    <row r="4" ht="56" customHeight="1">
      <c r="A4" s="26" t="inlineStr">
        <is>
          <t>Public school whose catchment they live in</t>
        </is>
      </c>
      <c r="B4" s="26" t="inlineStr">
        <is>
          <t>Where the school is (council area)</t>
        </is>
      </c>
      <c r="C4" s="26" t="inlineStr">
        <is>
          <t>People in Lane Cove council area, map of 21 June 2017</t>
        </is>
      </c>
      <c r="D4" s="26" t="inlineStr">
        <is>
          <t>People in Lane Cove council area, current map (2 October 2026)</t>
        </is>
      </c>
      <c r="I4" s="27" t="inlineStr">
        <is>
          <t>In the article</t>
        </is>
      </c>
    </row>
    <row r="5" ht="28" customHeight="1">
      <c r="A5" s="34" t="inlineStr">
        <is>
          <t>Lane Cove Public School</t>
        </is>
      </c>
      <c r="B5" s="43" t="inlineStr">
        <is>
          <t>Lane Cove</t>
        </is>
      </c>
      <c r="C5" s="32" t="n">
        <v>16137</v>
      </c>
      <c r="D5" s="32" t="n">
        <v>16137</v>
      </c>
      <c r="I5" s="30" t="inlineStr">
        <is>
          <t>From an earlier draft of the article, now only in this workbook: “At the 2021 Census about one in four people in the council area lived in the catchment of a public school outside it, most of them in Mowbray's (2021 Census counts on the Department of Education's school catchments).”</t>
        </is>
      </c>
    </row>
    <row r="6" ht="28" customHeight="1">
      <c r="A6" s="34" t="inlineStr">
        <is>
          <t>Lane Cove West Public School</t>
        </is>
      </c>
      <c r="B6" s="43" t="inlineStr">
        <is>
          <t>Lane Cove</t>
        </is>
      </c>
      <c r="C6" s="32" t="n">
        <v>6770</v>
      </c>
      <c r="D6" s="32" t="n">
        <v>6770</v>
      </c>
    </row>
    <row r="7" ht="28" customHeight="1">
      <c r="A7" s="34" t="inlineStr">
        <is>
          <t>Greenwich Public School</t>
        </is>
      </c>
      <c r="B7" s="43" t="inlineStr">
        <is>
          <t>Lane Cove</t>
        </is>
      </c>
      <c r="C7" s="32" t="n">
        <v>6713</v>
      </c>
      <c r="D7" s="32" t="n">
        <v>6754</v>
      </c>
    </row>
    <row r="8" ht="28" customHeight="1">
      <c r="A8" s="34" t="inlineStr">
        <is>
          <t>Mowbray Public School</t>
        </is>
      </c>
      <c r="B8" s="43" t="inlineStr">
        <is>
          <t>Willoughby</t>
        </is>
      </c>
      <c r="C8" s="32" t="n">
        <v>7748</v>
      </c>
      <c r="D8" s="32" t="n">
        <v>7748</v>
      </c>
    </row>
    <row r="9" ht="28" customHeight="1">
      <c r="A9" s="34" t="inlineStr">
        <is>
          <t>Anzac Park Public School</t>
        </is>
      </c>
      <c r="B9" s="43" t="inlineStr">
        <is>
          <t>North Sydney</t>
        </is>
      </c>
      <c r="C9" s="32" t="n">
        <v>1403</v>
      </c>
      <c r="D9" s="32" t="n">
        <v>1362</v>
      </c>
    </row>
    <row r="10" ht="28.5" customHeight="1">
      <c r="A10" s="34" t="inlineStr">
        <is>
          <t>Truscott Street Public School</t>
        </is>
      </c>
      <c r="B10" s="43" t="inlineStr">
        <is>
          <t>Ryde</t>
        </is>
      </c>
      <c r="C10" s="32" t="n">
        <v>707</v>
      </c>
      <c r="D10" s="32" t="n">
        <v>707</v>
      </c>
      <c r="I10" s="30" t="inlineStr">
        <is>
          <t>From an earlier draft of the article, now only in this workbook: “Split by the people on each side of the boundary, the fall would be about 17% to 20% rather than 15%.”</t>
        </is>
      </c>
    </row>
    <row r="11" ht="41.25" customHeight="1">
      <c r="A11" s="34" t="inlineStr">
        <is>
          <t>Everyone in the council area (sum of the 2021 mesh block counts)</t>
        </is>
      </c>
      <c r="B11" s="43" t="inlineStr"/>
      <c r="C11" s="33">
        <f>SUM(C5:C10)</f>
        <v>39478</v>
      </c>
      <c r="D11" s="33">
        <f>SUM(D5:D10)</f>
        <v>39478</v>
      </c>
    </row>
    <row r="12" ht="41.25" customHeight="1">
      <c r="A12" s="34" t="inlineStr">
        <is>
          <t>In the catchment of a public school outside the council area</t>
        </is>
      </c>
      <c r="B12" s="43" t="inlineStr"/>
      <c r="C12" s="33">
        <f>SUMIF($B$5:$B$10,"&lt;&gt;Lane Cove",C5:C10)</f>
        <v>9858</v>
      </c>
      <c r="D12" s="33">
        <f>SUMIF($B$5:$B$10,"&lt;&gt;Lane Cove",D5:D10)</f>
        <v>9817</v>
      </c>
    </row>
    <row r="13" ht="41.25" customHeight="1">
      <c r="A13" s="34" t="inlineStr">
        <is>
          <t>Share of the council area in an outside school's catchment</t>
        </is>
      </c>
      <c r="B13" s="43" t="inlineStr"/>
      <c r="C13" s="53">
        <f>C12/C11</f>
        <v>0.249708698515629</v>
      </c>
      <c r="D13" s="53">
        <f>D12/D11</f>
        <v>0.248670145397437</v>
      </c>
      <c r="I13" s="27" t="inlineStr">
        <is>
          <t>How the figures are worked out</t>
        </is>
      </c>
    </row>
    <row r="14" ht="28.5" customHeight="1">
      <c r="A14" s="34" t="inlineStr">
        <is>
          <t>Mowbray's share of those zoned outside</t>
        </is>
      </c>
      <c r="B14" s="43" t="inlineStr"/>
      <c r="C14" s="53">
        <f>C8/C12</f>
        <v>0.785960641103672</v>
      </c>
      <c r="D14" s="53">
        <f>D8/D12</f>
        <v>0.789243149638382</v>
      </c>
      <c r="I14" s="4" t="inlineStr">
        <is>
          <t>People are the 2021 Census mesh block counts, placed in the public school catchment each mesh block falls in on the Department of Education's catchment maps (our working). The same 2021 counts are used on every map, so a change between maps is a change in the lines, not in who lives there. The 39,478 is the sum of the mesh block counts; ABS QuickStats gives 39,438 for the council area.</t>
        </is>
      </c>
    </row>
    <row r="15"/>
    <row r="16" ht="56" customHeight="1">
      <c r="A16" s="26" t="inlineStr">
        <is>
          <t>Children in the council area at the 2021 Census (current map)</t>
        </is>
      </c>
      <c r="B16" s="26" t="inlineStr">
        <is>
          <t>In an outside school's catchment</t>
        </is>
      </c>
      <c r="C16" s="26" t="inlineStr">
        <is>
          <t>All</t>
        </is>
      </c>
      <c r="D16" s="26" t="inlineStr">
        <is>
          <t>Share</t>
        </is>
      </c>
    </row>
    <row r="17">
      <c r="A17" s="34" t="inlineStr">
        <is>
          <t>Aged 5 to 9</t>
        </is>
      </c>
      <c r="B17" s="32" t="n">
        <v>537</v>
      </c>
      <c r="C17" s="32" t="n">
        <v>2485</v>
      </c>
      <c r="D17" s="53">
        <f>B17/C17</f>
        <v>0.216096579476861</v>
      </c>
    </row>
    <row r="18">
      <c r="A18" s="34" t="inlineStr">
        <is>
          <t>Under five</t>
        </is>
      </c>
      <c r="B18" s="32" t="n">
        <v>690</v>
      </c>
      <c r="C18" s="32" t="n">
        <v>2413</v>
      </c>
      <c r="D18" s="53">
        <f>B18/C18</f>
        <v>0.285951098217986</v>
      </c>
    </row>
    <row r="19">
      <c r="A19" s="34" t="inlineStr">
        <is>
          <t>Aged five</t>
        </is>
      </c>
      <c r="B19" s="32" t="n">
        <v>123</v>
      </c>
      <c r="C19" s="32" t="n">
        <v>529</v>
      </c>
      <c r="D19" s="53">
        <f>B19/C19</f>
        <v>0.232514177693762</v>
      </c>
    </row>
    <row r="20" ht="41.25" customHeight="1">
      <c r="A20" s="34" t="inlineStr">
        <is>
          <t>People outside the council area in the catchment of a public school inside it</t>
        </is>
      </c>
      <c r="B20" s="32" t="n">
        <v>462</v>
      </c>
      <c r="I20" s="3" t="inlineStr">
        <is>
          <t>The earliest catchment map we recovered is dated 21 June 2017, so no map exists for the 2016 intake. The years each map applied to before 2020 are inferred from the date it was captured.</t>
        </is>
      </c>
    </row>
    <row r="21"/>
    <row r="22" ht="56" customHeight="1">
      <c r="A22" s="26" t="inlineStr">
        <is>
          <t>Mowbray Public's catchment, people at the 2021 Census</t>
        </is>
      </c>
      <c r="B22" s="26" t="inlineStr">
        <is>
          <t>Map used up to the 2021 intake</t>
        </is>
      </c>
      <c r="C22" s="26" t="inlineStr">
        <is>
          <t>Map used from the 2022 intake</t>
        </is>
      </c>
    </row>
    <row r="23" ht="28" customHeight="1">
      <c r="A23" s="34" t="inlineStr">
        <is>
          <t>In Lane Cove council area</t>
        </is>
      </c>
      <c r="B23" s="33">
        <f>D8</f>
        <v>7748</v>
      </c>
      <c r="C23" s="33">
        <f>D8</f>
        <v>7748</v>
      </c>
    </row>
    <row r="24" ht="41.25" customHeight="1">
      <c r="A24" s="34" t="inlineStr">
        <is>
          <t>Whole catchment (our mesh-block working, 20 October 2026 review)</t>
        </is>
      </c>
      <c r="B24" s="32" t="n">
        <v>10263</v>
      </c>
      <c r="C24" s="32" t="n">
        <v>12037</v>
      </c>
      <c r="I24" s="3" t="inlineStr">
        <is>
          <t>Nobody publishes where Mowbray's kindergarten children live. The fair split gives Lane Cove the share of Mowbray's catchment that lives in the council area, on the map used for each intake: the earlier map up to the 2021 intake and the current one (with part of Chatswood added) from 2022. Every share applies 2021 Census counts to both periods. Our arithmetic, not an official measure.</t>
        </is>
      </c>
    </row>
    <row r="25" ht="28.5" customHeight="1">
      <c r="A25" s="34" t="inlineStr">
        <is>
          <t>Outside Lane Cove council area</t>
        </is>
      </c>
      <c r="B25" s="33">
        <f>B24-B23</f>
        <v>2515</v>
      </c>
      <c r="C25" s="33">
        <f>C24-C23</f>
        <v>4289</v>
      </c>
    </row>
    <row r="26" ht="28.5" customHeight="1">
      <c r="A26" s="34" t="inlineStr">
        <is>
          <t>Lane Cove council area's share of the catchment</t>
        </is>
      </c>
      <c r="B26" s="53">
        <f>B23/B24</f>
        <v>0.754944947870993</v>
      </c>
      <c r="C26" s="53">
        <f>C23/C24</f>
        <v>0.64368198055994</v>
      </c>
    </row>
    <row r="27" ht="54" customHeight="1">
      <c r="A27" s="34" t="inlineStr">
        <is>
          <t>Added from Chatswood Public's catchment in December 2021 (Zone changes sheet)</t>
        </is>
      </c>
      <c r="C27" s="33">
        <f>C24-B24</f>
        <v>1774</v>
      </c>
    </row>
    <row r="28"/>
    <row r="29"/>
    <row r="30" ht="56" customHeight="1">
      <c r="A30" s="26" t="inlineStr">
        <is>
          <t>Year</t>
        </is>
      </c>
      <c r="B30" s="26" t="inlineStr">
        <is>
          <t>Four schools in the council area (no Currambena): kindergarten</t>
        </is>
      </c>
      <c r="C30" s="26" t="inlineStr">
        <is>
          <t>Mowbray: kindergarten</t>
        </is>
      </c>
      <c r="D30" s="26" t="inlineStr">
        <is>
          <t>Lane Cove share applied (people)</t>
        </is>
      </c>
      <c r="E30" s="26" t="inlineStr">
        <is>
          <t>Four schools plus that share of Mowbray</t>
        </is>
      </c>
      <c r="F30" s="26" t="inlineStr">
        <is>
          <t>Lane Cove: children aged 5 to 9</t>
        </is>
      </c>
      <c r="G30" s="26" t="inlineStr">
        <is>
          <t>Per 1,000 children aged 5 to 9</t>
        </is>
      </c>
      <c r="I30" s="3" t="inlineStr">
        <is>
          <t>The children's shares come from our 20 October 2026 review: 2021 Census counts of children by statistical area (SA1), spread over each area's mesh blocks in proportion to people. Three SA1s straddle Mowbray's catchment boundary (57 people in the catchment); none straddles the council boundary. The intake cohorts are the children aged 7 to 9 in 2021 on the earlier map and aged 1 to 3 on the current one.</t>
        </is>
      </c>
    </row>
    <row r="31">
      <c r="A31" s="31" t="n">
        <v>2016</v>
      </c>
      <c r="B31" s="33">
        <f>'Kindergarten'!J15</f>
        <v>360</v>
      </c>
      <c r="C31" s="33">
        <f>'Kindergarten'!F15</f>
        <v>83</v>
      </c>
      <c r="D31" s="53">
        <f>$B$26</f>
        <v>0.754944947870993</v>
      </c>
      <c r="E31" s="44">
        <f>B31+C31*D31</f>
        <v>422.660430673292</v>
      </c>
      <c r="F31" s="33">
        <f>'Resident children ratio'!C5</f>
        <v>2261</v>
      </c>
      <c r="G31" s="44">
        <f>E31/F31*1000</f>
        <v>186.935174999245</v>
      </c>
    </row>
    <row r="32">
      <c r="A32" s="31" t="n">
        <v>2017</v>
      </c>
      <c r="B32" s="33">
        <f>'Kindergarten'!J16</f>
        <v>400</v>
      </c>
      <c r="C32" s="33">
        <f>'Kindergarten'!F16</f>
        <v>102</v>
      </c>
      <c r="D32" s="53">
        <f>$B$26</f>
        <v>0.754944947870993</v>
      </c>
      <c r="E32" s="44">
        <f>B32+C32*D32</f>
        <v>477.004384682841</v>
      </c>
      <c r="F32" s="33">
        <f>'Resident children ratio'!C6</f>
        <v>2377</v>
      </c>
      <c r="G32" s="44">
        <f>E32/F32*1000</f>
        <v>200.67496200372</v>
      </c>
    </row>
    <row r="33">
      <c r="A33" s="31" t="n">
        <v>2018</v>
      </c>
      <c r="B33" s="33">
        <f>'Kindergarten'!J17</f>
        <v>400</v>
      </c>
      <c r="C33" s="33">
        <f>'Kindergarten'!F17</f>
        <v>118</v>
      </c>
      <c r="D33" s="53">
        <f>$B$26</f>
        <v>0.754944947870993</v>
      </c>
      <c r="E33" s="44">
        <f>B33+C33*D33</f>
        <v>489.083503848777</v>
      </c>
      <c r="F33" s="33">
        <f>'Resident children ratio'!C7</f>
        <v>2469</v>
      </c>
      <c r="G33" s="44">
        <f>E33/F33*1000</f>
        <v>198.089713993024</v>
      </c>
    </row>
    <row r="34">
      <c r="A34" s="31" t="n">
        <v>2019</v>
      </c>
      <c r="B34" s="33">
        <f>'Kindergarten'!J18</f>
        <v>395</v>
      </c>
      <c r="C34" s="33">
        <f>'Kindergarten'!F18</f>
        <v>117</v>
      </c>
      <c r="D34" s="53">
        <f>$B$26</f>
        <v>0.754944947870993</v>
      </c>
      <c r="E34" s="44">
        <f>B34+C34*D34</f>
        <v>483.328558900906</v>
      </c>
      <c r="F34" s="33">
        <f>'Resident children ratio'!C8</f>
        <v>2495</v>
      </c>
      <c r="G34" s="44">
        <f>E34/F34*1000</f>
        <v>193.718861282928</v>
      </c>
    </row>
    <row r="35">
      <c r="A35" s="31" t="n">
        <v>2020</v>
      </c>
      <c r="B35" s="33">
        <f>'Kindergarten'!J19</f>
        <v>360</v>
      </c>
      <c r="C35" s="33">
        <f>'Kindergarten'!F19</f>
        <v>106</v>
      </c>
      <c r="D35" s="53">
        <f>$B$26</f>
        <v>0.754944947870993</v>
      </c>
      <c r="E35" s="44">
        <f>B35+C35*D35</f>
        <v>440.024164474325</v>
      </c>
      <c r="F35" s="33">
        <f>'Resident children ratio'!C9</f>
        <v>2500</v>
      </c>
      <c r="G35" s="44">
        <f>E35/F35*1000</f>
        <v>176.00966578973</v>
      </c>
    </row>
    <row r="36">
      <c r="A36" s="31" t="n">
        <v>2021</v>
      </c>
      <c r="B36" s="33">
        <f>'Kindergarten'!J20</f>
        <v>399</v>
      </c>
      <c r="C36" s="33">
        <f>'Kindergarten'!F20</f>
        <v>115</v>
      </c>
      <c r="D36" s="53">
        <f>$B$26</f>
        <v>0.754944947870993</v>
      </c>
      <c r="E36" s="44">
        <f>B36+C36*D36</f>
        <v>485.818669005164</v>
      </c>
      <c r="F36" s="33">
        <f>'Resident children ratio'!C10</f>
        <v>2519</v>
      </c>
      <c r="G36" s="44">
        <f>E36/F36*1000</f>
        <v>192.861718541153</v>
      </c>
      <c r="I36" s="3" t="inlineStr">
        <is>
          <t>The four schools are Lane Cove Public, Lane Cove West Public, Greenwich Public and St Michael's Catholic Primary (the Kindergarten sheet's column J). Counting all of Mowbray instead is the article's five schools, on the Resident children ratio sheet.</t>
        </is>
      </c>
    </row>
    <row r="37">
      <c r="A37" s="31" t="n">
        <v>2022</v>
      </c>
      <c r="B37" s="33">
        <f>'Kindergarten'!J21</f>
        <v>329</v>
      </c>
      <c r="C37" s="33">
        <f>'Kindergarten'!F21</f>
        <v>115</v>
      </c>
      <c r="D37" s="53">
        <f>$C$26</f>
        <v>0.64368198055994</v>
      </c>
      <c r="E37" s="44">
        <f>B37+C37*D37</f>
        <v>403.023427764393</v>
      </c>
      <c r="F37" s="33">
        <f>'Resident children ratio'!C11</f>
        <v>2424</v>
      </c>
      <c r="G37" s="44">
        <f>E37/F37*1000</f>
        <v>166.263790331845</v>
      </c>
    </row>
    <row r="38">
      <c r="A38" s="31" t="n">
        <v>2023</v>
      </c>
      <c r="B38" s="33">
        <f>'Kindergarten'!J22</f>
        <v>308</v>
      </c>
      <c r="C38" s="33">
        <f>'Kindergarten'!F22</f>
        <v>118</v>
      </c>
      <c r="D38" s="53">
        <f>$C$26</f>
        <v>0.64368198055994</v>
      </c>
      <c r="E38" s="44">
        <f>B38+C38*D38</f>
        <v>383.954473706073</v>
      </c>
      <c r="F38" s="33">
        <f>'Resident children ratio'!C12</f>
        <v>2403</v>
      </c>
      <c r="G38" s="44">
        <f>E38/F38*1000</f>
        <v>159.781304080763</v>
      </c>
    </row>
    <row r="39">
      <c r="A39" s="31" t="n">
        <v>2024</v>
      </c>
      <c r="B39" s="33">
        <f>'Kindergarten'!J23</f>
        <v>307</v>
      </c>
      <c r="C39" s="33">
        <f>'Kindergarten'!F23</f>
        <v>110</v>
      </c>
      <c r="D39" s="53">
        <f>$C$26</f>
        <v>0.64368198055994</v>
      </c>
      <c r="E39" s="44">
        <f>B39+C39*D39</f>
        <v>377.805017861593</v>
      </c>
      <c r="F39" s="33">
        <f>'Resident children ratio'!C13</f>
        <v>2392</v>
      </c>
      <c r="G39" s="44">
        <f>E39/F39*1000</f>
        <v>157.945241580934</v>
      </c>
    </row>
    <row r="40">
      <c r="A40" s="31" t="n">
        <v>2025</v>
      </c>
      <c r="B40" s="33">
        <f>'Kindergarten'!J24</f>
        <v>286</v>
      </c>
      <c r="C40" s="33">
        <f>'Kindergarten'!F24</f>
        <v>109</v>
      </c>
      <c r="D40" s="53">
        <f>$C$26</f>
        <v>0.64368198055994</v>
      </c>
      <c r="E40" s="44">
        <f>B40+C40*D40</f>
        <v>356.161335881034</v>
      </c>
      <c r="F40" s="33">
        <f>'Resident children ratio'!C14</f>
        <v>2304</v>
      </c>
      <c r="G40" s="44">
        <f>E40/F40*1000</f>
        <v>154.58391314281</v>
      </c>
      <c r="I40" s="3" t="inlineStr">
        <is>
          <t>Mowbray's kindergarten held about level while its catchment grew, so its kindergarten per person in the catchment fell. A flat total cannot show whether it took more Lane Cove children or fewer.</t>
        </is>
      </c>
    </row>
    <row r="41"/>
    <row r="42">
      <c r="A42" s="34" t="inlineStr">
        <is>
          <t>Yearly average, 2016 to 2019</t>
        </is>
      </c>
      <c r="B42" s="44">
        <f>AVERAGE(B31:B34)</f>
        <v>388.75</v>
      </c>
      <c r="C42" s="44">
        <f>AVERAGE(C31:C34)</f>
        <v>105</v>
      </c>
      <c r="E42" s="44">
        <f>AVERAGE(E31:E34)</f>
        <v>468.019219526454</v>
      </c>
      <c r="F42" s="44">
        <f>AVERAGE(F31:F34)</f>
        <v>2400.5</v>
      </c>
      <c r="G42" s="44">
        <f>E42/F42*1000</f>
        <v>194.967389929787</v>
      </c>
    </row>
    <row r="43">
      <c r="A43" s="34" t="inlineStr">
        <is>
          <t>Yearly average, 2023 to 2025</t>
        </is>
      </c>
      <c r="B43" s="44">
        <f>AVERAGE(B38:B40)</f>
        <v>300.333333333333</v>
      </c>
      <c r="C43" s="44">
        <f>AVERAGE(C38:C40)</f>
        <v>112.333333333333</v>
      </c>
      <c r="E43" s="44">
        <f>AVERAGE(E38:E40)</f>
        <v>372.640275816233</v>
      </c>
      <c r="F43" s="44">
        <f>AVERAGE(F38:F40)</f>
        <v>2366.33333333333</v>
      </c>
      <c r="G43" s="44">
        <f>E43/F43*1000</f>
        <v>157.475817361417</v>
      </c>
    </row>
    <row r="44" ht="28.5" customHeight="1">
      <c r="A44" s="34" t="inlineStr">
        <is>
          <t>Change between the two periods</t>
        </is>
      </c>
      <c r="G44" s="37">
        <f>G43/G42-1</f>
        <v>-0.192296632692636</v>
      </c>
      <c r="I44" s="3" t="inlineStr">
        <is>
          <t>From an earlier draft of the article, now only in this workbook: "Counting all of Mowbray makes Lane Cove's fall look smaller than it is, because its catchment also covers part of Willoughby."</t>
        </is>
      </c>
    </row>
    <row r="45"/>
    <row r="46"/>
    <row r="47" ht="56" customHeight="1">
      <c r="A47" s="26" t="inlineStr">
        <is>
          <t>Split Mowbray's kindergarten in proportion to</t>
        </is>
      </c>
      <c r="B47" s="26" t="inlineStr">
        <is>
          <t>Lane Cove share, intakes to 2021</t>
        </is>
      </c>
      <c r="C47" s="26" t="inlineStr">
        <is>
          <t>Lane Cove share, intakes from 2022</t>
        </is>
      </c>
      <c r="D47" s="26" t="inlineStr">
        <is>
          <t>Per 1,000, 2016 to 2019</t>
        </is>
      </c>
      <c r="E47" s="26" t="inlineStr">
        <is>
          <t>Per 1,000, 2023 to 2025</t>
        </is>
      </c>
      <c r="F47" s="26" t="inlineStr">
        <is>
          <t>Change</t>
        </is>
      </c>
    </row>
    <row r="48" ht="28.5" customHeight="1">
      <c r="A48" s="34" t="inlineStr">
        <is>
          <t>People (the yearly table above)</t>
        </is>
      </c>
      <c r="B48" s="53">
        <f>B26</f>
        <v>0.754944947870993</v>
      </c>
      <c r="C48" s="53">
        <f>C26</f>
        <v>0.64368198055994</v>
      </c>
      <c r="D48" s="44">
        <f>(SUM(B31:B34)+B48*SUM(C31:C34))/SUM(F31:F34)*1000</f>
        <v>194.967389929787</v>
      </c>
      <c r="E48" s="44">
        <f>(SUM(B38:B40)+C48*SUM(C38:C40))/SUM(F38:F40)*1000</f>
        <v>157.475817361417</v>
      </c>
      <c r="F48" s="37">
        <f>E48/D48-1</f>
        <v>-0.192296632692636</v>
      </c>
      <c r="I48" s="3" t="inlineStr">
        <is>
          <t>From an earlier draft of the article, now only in this workbook: "That is why Mowbray is one of our five schools."</t>
        </is>
      </c>
    </row>
    <row r="49" ht="54" customHeight="1">
      <c r="A49" s="34" t="inlineStr">
        <is>
          <t>Children aged 1 to 3 or 7 to 9 in 2021 (the intake cohorts) (our 20 October 2026 review)</t>
        </is>
      </c>
      <c r="B49" s="55" t="n">
        <v>0.731</v>
      </c>
      <c r="C49" s="55" t="n">
        <v>0.7040000000000001</v>
      </c>
      <c r="D49" s="44">
        <f>(SUM(B31:B34)+B49*SUM(C31:C34))/SUM(F31:F34)*1000</f>
        <v>193.920016663195</v>
      </c>
      <c r="E49" s="44">
        <f>(SUM(B38:B40)+C49*SUM(C38:C40))/SUM(F38:F40)*1000</f>
        <v>160.339202704606</v>
      </c>
      <c r="F49" s="37">
        <f>E49/D49-1</f>
        <v>-0.17316837393281</v>
      </c>
    </row>
    <row r="50" ht="28.5" customHeight="1">
      <c r="A50" s="34" t="inlineStr">
        <is>
          <t>Children under five (our 20 October 2026 review)</t>
        </is>
      </c>
      <c r="B50" s="55" t="n">
        <v>0.785</v>
      </c>
      <c r="C50" s="55" t="n">
        <v>0.6899999999999999</v>
      </c>
      <c r="D50" s="44">
        <f>(SUM(B31:B34)+B50*SUM(C31:C34))/SUM(F31:F34)*1000</f>
        <v>196.282024578213</v>
      </c>
      <c r="E50" s="44">
        <f>(SUM(B38:B40)+C50*SUM(C38:C40))/SUM(F38:F40)*1000</f>
        <v>159.674602056628</v>
      </c>
      <c r="F50" s="37">
        <f>E50/D50-1</f>
        <v>-0.186504202818624</v>
      </c>
    </row>
    <row r="51" ht="28.5" customHeight="1">
      <c r="A51" s="34" t="inlineStr">
        <is>
          <t>Children aged 5 to 9 (our 20 October 2026 review)</t>
        </is>
      </c>
      <c r="B51" s="55" t="n">
        <v>0.743</v>
      </c>
      <c r="C51" s="55" t="n">
        <v>0.621</v>
      </c>
      <c r="D51" s="44">
        <f>(SUM(B31:B34)+B51*SUM(C31:C34))/SUM(F31:F34)*1000</f>
        <v>194.444907310977</v>
      </c>
      <c r="E51" s="44">
        <f>(SUM(B38:B40)+C51*SUM(C38:C40))/SUM(F38:F40)*1000</f>
        <v>156.39907029159</v>
      </c>
      <c r="F51" s="37">
        <f>E51/D51-1</f>
        <v>-0.195663838901883</v>
      </c>
      <c r="I51" s="27" t="inlineStr">
        <is>
          <t>Sources</t>
        </is>
      </c>
    </row>
    <row r="52" ht="41.25" customHeight="1">
      <c r="A52" s="34" t="inlineStr">
        <is>
          <t>Sensitivity: an early share of 60% (late share as for people)</t>
        </is>
      </c>
      <c r="B52" s="55" t="n">
        <v>0.6</v>
      </c>
      <c r="C52" s="53">
        <f>C26</f>
        <v>0.64368198055994</v>
      </c>
      <c r="D52" s="44">
        <f>(SUM(B31:B34)+B52*SUM(C31:C34))/SUM(F31:F34)*1000</f>
        <v>188.189960424911</v>
      </c>
      <c r="E52" s="44">
        <f>(SUM(B38:B40)+C52*SUM(C38:C40))/SUM(F38:F40)*1000</f>
        <v>157.475817361417</v>
      </c>
      <c r="F52" s="37">
        <f>E52/D52-1</f>
        <v>-0.163208191309172</v>
      </c>
      <c r="I52" s="42" t="inlineStr">
        <is>
          <t>ABS 2021 Census mesh block counts</t>
        </is>
      </c>
    </row>
    <row r="53" ht="41.25" customHeight="1">
      <c r="A53" s="34" t="inlineStr">
        <is>
          <t>Sensitivity: an early share of 80% (late share as for people)</t>
        </is>
      </c>
      <c r="B53" s="55" t="n">
        <v>0.8</v>
      </c>
      <c r="C53" s="53">
        <f>C26</f>
        <v>0.64368198055994</v>
      </c>
      <c r="D53" s="44">
        <f>(SUM(B31:B34)+B53*SUM(C31:C34))/SUM(F31:F34)*1000</f>
        <v>196.93813788794</v>
      </c>
      <c r="E53" s="44">
        <f>(SUM(B38:B40)+C53*SUM(C38:C40))/SUM(F38:F40)*1000</f>
        <v>157.475817361417</v>
      </c>
      <c r="F53" s="37">
        <f>E53/D53-1</f>
        <v>-0.2003792711241</v>
      </c>
      <c r="I53" s="42" t="inlineStr">
        <is>
          <t>NSW Department of Education: school intake zones (catchment areas) for NSW government schools, on Data.NSW</t>
        </is>
      </c>
    </row>
    <row r="54" ht="28.5" customHeight="1">
      <c r="A54" s="34" t="inlineStr">
        <is>
          <t>Smallest and largest fall, the four weightings</t>
        </is>
      </c>
      <c r="D54" s="37">
        <f>MAX(F48:F51)</f>
        <v>-0.17316837393281</v>
      </c>
      <c r="E54" s="37">
        <f>MIN(F48:F51)</f>
        <v>-0.195663838901883</v>
      </c>
      <c r="I54" s="42" t="inlineStr">
        <is>
          <t>ACARA Data Access Program: Enrolments by Grade 2008-2025 and School Locations 2025</t>
        </is>
      </c>
    </row>
    <row r="55">
      <c r="I55" s="42" t="inlineStr">
        <is>
          <t>ABS Regional population by age and sex 2025 (32350DS0006)</t>
        </is>
      </c>
    </row>
    <row r="56" ht="28" customHeight="1">
      <c r="A56" s="34" t="inlineStr">
        <is>
          <t>Mowbray kindergarten per 1,000 people in its whole catchment: 2017 to 2019 average (earlier map)</t>
        </is>
      </c>
      <c r="B56" s="46" t="n"/>
      <c r="C56" s="47" t="n"/>
      <c r="D56" s="56">
        <f>AVERAGE(C32:C34)/B24*1000</f>
        <v>10.9454675371074</v>
      </c>
      <c r="I56" s="42" t="inlineStr">
        <is>
          <t>ABS 2021 Census QuickStats, Lane Cove LGA</t>
        </is>
      </c>
    </row>
    <row r="57" ht="28" customHeight="1">
      <c r="A57" s="34" t="inlineStr">
        <is>
          <t>The same, 2023 to 2025 average (current map)</t>
        </is>
      </c>
      <c r="B57" s="46" t="n"/>
      <c r="C57" s="47" t="n"/>
      <c r="D57" s="56">
        <f>AVERAGE(C38:C40)/C24*1000</f>
        <v>9.33233640718894</v>
      </c>
    </row>
  </sheetData>
  <mergeCells count="12">
    <mergeCell ref="I5:I8"/>
    <mergeCell ref="I36:I38"/>
    <mergeCell ref="I48:I49"/>
    <mergeCell ref="I44:I46"/>
    <mergeCell ref="I40:I42"/>
    <mergeCell ref="I30:I34"/>
    <mergeCell ref="A56:C56"/>
    <mergeCell ref="I20:I22"/>
    <mergeCell ref="I24:I28"/>
    <mergeCell ref="I14:I18"/>
    <mergeCell ref="A57:C57"/>
    <mergeCell ref="I10:I11"/>
  </mergeCells>
  <hyperlinks>
    <hyperlink xmlns:r="http://schemas.openxmlformats.org/officeDocument/2006/relationships" ref="A2" r:id="rId1"/>
    <hyperlink xmlns:r="http://schemas.openxmlformats.org/officeDocument/2006/relationships" ref="I14" r:id="rId2"/>
    <hyperlink xmlns:r="http://schemas.openxmlformats.org/officeDocument/2006/relationships" ref="I52" r:id="rId3"/>
    <hyperlink xmlns:r="http://schemas.openxmlformats.org/officeDocument/2006/relationships" ref="I53" r:id="rId4"/>
    <hyperlink xmlns:r="http://schemas.openxmlformats.org/officeDocument/2006/relationships" ref="I54" r:id="rId5"/>
    <hyperlink xmlns:r="http://schemas.openxmlformats.org/officeDocument/2006/relationships" ref="I55" r:id="rId6"/>
    <hyperlink xmlns:r="http://schemas.openxmlformats.org/officeDocument/2006/relationships" ref="I56" r:id="rId7"/>
  </hyperlinks>
  <printOptions gridLines="0"/>
  <pageMargins left="0.75" right="0.75" top="1" bottom="1" header="0.5" footer="0.5"/>
  <pageSetup orientation="landscape" paperSize="9" fitToHeight="0" fitToWidth="1"/>
</worksheet>
</file>

<file path=xl/worksheets/sheet18.xml><?xml version="1.0" encoding="utf-8"?>
<worksheet xmlns="http://schemas.openxmlformats.org/spreadsheetml/2006/main">
  <sheetPr>
    <outlinePr summaryBelow="1" summaryRight="1"/>
    <pageSetUpPr fitToPage="1"/>
  </sheetPr>
  <dimension ref="A1:S4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3" customWidth="1" min="3" max="3"/>
    <col width="13" customWidth="1" min="4" max="4"/>
    <col width="13" customWidth="1" min="5" max="5"/>
    <col width="13" customWidth="1" min="6" max="6"/>
    <col width="13" customWidth="1" min="7" max="7"/>
    <col width="13"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3" customWidth="1" min="18" max="18"/>
    <col width="95" customWidth="1" min="19" max="19"/>
  </cols>
  <sheetData>
    <row r="1">
      <c r="A1" s="7" t="inlineStr">
        <is>
          <t>Kindergarten per 100 five-year-olds living in the area (our estimate)</t>
        </is>
      </c>
    </row>
    <row r="2">
      <c r="A2" s="25" t="inlineStr">
        <is>
          <t>Five-year-olds estimated from the ABS 5 to 9 estimates at 30 June, split by single year of age from the 2016 and 2021 Census community profiles (table G04). Kindergarten as on the Resident children ratio sheet.</t>
        </is>
      </c>
    </row>
    <row r="3"/>
    <row r="4">
      <c r="A4" s="26" t="inlineStr">
        <is>
          <t>Area</t>
        </is>
      </c>
      <c r="B4" s="26" t="inlineStr">
        <is>
          <t>Census</t>
        </is>
      </c>
      <c r="C4" s="26" t="inlineStr">
        <is>
          <t>Aged 0</t>
        </is>
      </c>
      <c r="D4" s="26" t="inlineStr">
        <is>
          <t>Aged 1</t>
        </is>
      </c>
      <c r="E4" s="26" t="inlineStr">
        <is>
          <t>Aged 2</t>
        </is>
      </c>
      <c r="F4" s="26" t="inlineStr">
        <is>
          <t>Aged 3</t>
        </is>
      </c>
      <c r="G4" s="26" t="inlineStr">
        <is>
          <t>Aged 4</t>
        </is>
      </c>
      <c r="H4" s="26" t="inlineStr">
        <is>
          <t>Aged 5</t>
        </is>
      </c>
      <c r="I4" s="26" t="inlineStr">
        <is>
          <t>Aged 6</t>
        </is>
      </c>
      <c r="J4" s="26" t="inlineStr">
        <is>
          <t>Aged 7</t>
        </is>
      </c>
      <c r="K4" s="26" t="inlineStr">
        <is>
          <t>Aged 8</t>
        </is>
      </c>
      <c r="L4" s="26" t="inlineStr">
        <is>
          <t>Aged 9</t>
        </is>
      </c>
      <c r="M4" s="26" t="inlineStr">
        <is>
          <t>Aged 10</t>
        </is>
      </c>
      <c r="N4" s="26" t="inlineStr">
        <is>
          <t>Aged 11</t>
        </is>
      </c>
      <c r="O4" s="26" t="inlineStr">
        <is>
          <t>Aged 12</t>
        </is>
      </c>
      <c r="P4" s="26" t="inlineStr">
        <is>
          <t>Aged 13</t>
        </is>
      </c>
      <c r="Q4" s="26" t="inlineStr">
        <is>
          <t>Aged 14</t>
        </is>
      </c>
      <c r="S4" s="27" t="inlineStr">
        <is>
          <t>How the figures are worked out</t>
        </is>
      </c>
    </row>
    <row r="5">
      <c r="A5" s="34" t="inlineStr">
        <is>
          <t>Lane Cove</t>
        </is>
      </c>
      <c r="B5" s="49" t="n">
        <v>2016</v>
      </c>
      <c r="C5" s="32" t="n">
        <v>494</v>
      </c>
      <c r="D5" s="32" t="n">
        <v>509</v>
      </c>
      <c r="E5" s="32" t="n">
        <v>443</v>
      </c>
      <c r="F5" s="32" t="n">
        <v>488</v>
      </c>
      <c r="G5" s="32" t="n">
        <v>497</v>
      </c>
      <c r="H5" s="32" t="n">
        <v>378</v>
      </c>
      <c r="I5" s="32" t="n">
        <v>481</v>
      </c>
      <c r="J5" s="32" t="n">
        <v>422</v>
      </c>
      <c r="K5" s="32" t="n">
        <v>450</v>
      </c>
      <c r="L5" s="32" t="n">
        <v>449</v>
      </c>
      <c r="M5" s="32" t="n">
        <v>406</v>
      </c>
      <c r="N5" s="32" t="n">
        <v>424</v>
      </c>
      <c r="O5" s="32" t="n">
        <v>408</v>
      </c>
      <c r="P5" s="32" t="n">
        <v>415</v>
      </c>
      <c r="Q5" s="32" t="n">
        <v>421</v>
      </c>
      <c r="S5" s="4" t="inlineStr">
        <is>
          <t>Our estimate, not an official count. The ABS publishes children aged 5 to 9 each year, not five-year-olds. Each year's five-year-olds are the 5 to 9 estimate multiplied by the five-year-olds' share of the same children at the nearest Census: the 2016 Census for 2016 to 2018 and the 2021 Census for 2019 to 2025, followed forward or back by age (for 2023, the children aged 3 in 2021 against those aged 3 to 7).</t>
        </is>
      </c>
    </row>
    <row r="6">
      <c r="A6" s="34" t="inlineStr">
        <is>
          <t>Lane Cove</t>
        </is>
      </c>
      <c r="B6" s="49" t="n">
        <v>2021</v>
      </c>
      <c r="C6" s="32" t="n">
        <v>518</v>
      </c>
      <c r="D6" s="32" t="n">
        <v>510</v>
      </c>
      <c r="E6" s="32" t="n">
        <v>461</v>
      </c>
      <c r="F6" s="32" t="n">
        <v>474</v>
      </c>
      <c r="G6" s="32" t="n">
        <v>438</v>
      </c>
      <c r="H6" s="32" t="n">
        <v>517</v>
      </c>
      <c r="I6" s="32" t="n">
        <v>509</v>
      </c>
      <c r="J6" s="32" t="n">
        <v>447</v>
      </c>
      <c r="K6" s="32" t="n">
        <v>521</v>
      </c>
      <c r="L6" s="32" t="n">
        <v>535</v>
      </c>
      <c r="M6" s="32" t="n">
        <v>383</v>
      </c>
      <c r="N6" s="32" t="n">
        <v>490</v>
      </c>
      <c r="O6" s="32" t="n">
        <v>430</v>
      </c>
      <c r="P6" s="32" t="n">
        <v>466</v>
      </c>
      <c r="Q6" s="32" t="n">
        <v>474</v>
      </c>
    </row>
    <row r="7">
      <c r="A7" s="34" t="inlineStr">
        <is>
          <t>Willoughby</t>
        </is>
      </c>
      <c r="B7" s="49" t="n">
        <v>2016</v>
      </c>
      <c r="C7" s="32" t="n">
        <v>899</v>
      </c>
      <c r="D7" s="32" t="n">
        <v>949</v>
      </c>
      <c r="E7" s="32" t="n">
        <v>987</v>
      </c>
      <c r="F7" s="32" t="n">
        <v>1063</v>
      </c>
      <c r="G7" s="32" t="n">
        <v>1003</v>
      </c>
      <c r="H7" s="32" t="n">
        <v>1078</v>
      </c>
      <c r="I7" s="32" t="n">
        <v>1103</v>
      </c>
      <c r="J7" s="32" t="n">
        <v>1036</v>
      </c>
      <c r="K7" s="32" t="n">
        <v>1013</v>
      </c>
      <c r="L7" s="32" t="n">
        <v>1003</v>
      </c>
      <c r="M7" s="32" t="n">
        <v>985</v>
      </c>
      <c r="N7" s="32" t="n">
        <v>933</v>
      </c>
      <c r="O7" s="32" t="n">
        <v>804</v>
      </c>
      <c r="P7" s="32" t="n">
        <v>769</v>
      </c>
      <c r="Q7" s="32" t="n">
        <v>787</v>
      </c>
    </row>
    <row r="8">
      <c r="A8" s="34" t="inlineStr">
        <is>
          <t>Willoughby</t>
        </is>
      </c>
      <c r="B8" s="49" t="n">
        <v>2021</v>
      </c>
      <c r="C8" s="32" t="n">
        <v>667</v>
      </c>
      <c r="D8" s="32" t="n">
        <v>750</v>
      </c>
      <c r="E8" s="32" t="n">
        <v>779</v>
      </c>
      <c r="F8" s="32" t="n">
        <v>840</v>
      </c>
      <c r="G8" s="32" t="n">
        <v>918</v>
      </c>
      <c r="H8" s="32" t="n">
        <v>965</v>
      </c>
      <c r="I8" s="32" t="n">
        <v>1041</v>
      </c>
      <c r="J8" s="32" t="n">
        <v>1049</v>
      </c>
      <c r="K8" s="32" t="n">
        <v>1113</v>
      </c>
      <c r="L8" s="32" t="n">
        <v>1010</v>
      </c>
      <c r="M8" s="32" t="n">
        <v>1074</v>
      </c>
      <c r="N8" s="32" t="n">
        <v>1062</v>
      </c>
      <c r="O8" s="32" t="n">
        <v>1033</v>
      </c>
      <c r="P8" s="32" t="n">
        <v>988</v>
      </c>
      <c r="Q8" s="32" t="n">
        <v>996</v>
      </c>
    </row>
    <row r="9">
      <c r="A9" s="34" t="inlineStr">
        <is>
          <t>Hunters Hill</t>
        </is>
      </c>
      <c r="B9" s="49" t="n">
        <v>2016</v>
      </c>
      <c r="C9" s="32" t="n">
        <v>116</v>
      </c>
      <c r="D9" s="32" t="n">
        <v>138</v>
      </c>
      <c r="E9" s="32" t="n">
        <v>145</v>
      </c>
      <c r="F9" s="32" t="n">
        <v>157</v>
      </c>
      <c r="G9" s="32" t="n">
        <v>162</v>
      </c>
      <c r="H9" s="32" t="n">
        <v>156</v>
      </c>
      <c r="I9" s="32" t="n">
        <v>176</v>
      </c>
      <c r="J9" s="32" t="n">
        <v>187</v>
      </c>
      <c r="K9" s="32" t="n">
        <v>206</v>
      </c>
      <c r="L9" s="32" t="n">
        <v>185</v>
      </c>
      <c r="M9" s="32" t="n">
        <v>190</v>
      </c>
      <c r="N9" s="32" t="n">
        <v>204</v>
      </c>
      <c r="O9" s="32" t="n">
        <v>193</v>
      </c>
      <c r="P9" s="32" t="n">
        <v>225</v>
      </c>
      <c r="Q9" s="32" t="n">
        <v>217</v>
      </c>
    </row>
    <row r="10">
      <c r="A10" s="34" t="inlineStr">
        <is>
          <t>Hunters Hill</t>
        </is>
      </c>
      <c r="B10" s="49" t="n">
        <v>2021</v>
      </c>
      <c r="C10" s="32" t="n">
        <v>124</v>
      </c>
      <c r="D10" s="32" t="n">
        <v>97</v>
      </c>
      <c r="E10" s="32" t="n">
        <v>114</v>
      </c>
      <c r="F10" s="32" t="n">
        <v>112</v>
      </c>
      <c r="G10" s="32" t="n">
        <v>134</v>
      </c>
      <c r="H10" s="32" t="n">
        <v>136</v>
      </c>
      <c r="I10" s="32" t="n">
        <v>140</v>
      </c>
      <c r="J10" s="32" t="n">
        <v>149</v>
      </c>
      <c r="K10" s="32" t="n">
        <v>168</v>
      </c>
      <c r="L10" s="32" t="n">
        <v>167</v>
      </c>
      <c r="M10" s="32" t="n">
        <v>167</v>
      </c>
      <c r="N10" s="32" t="n">
        <v>177</v>
      </c>
      <c r="O10" s="32" t="n">
        <v>202</v>
      </c>
      <c r="P10" s="32" t="n">
        <v>212</v>
      </c>
      <c r="Q10" s="32" t="n">
        <v>222</v>
      </c>
    </row>
    <row r="11">
      <c r="A11" s="34" t="inlineStr">
        <is>
          <t>North Sydney</t>
        </is>
      </c>
      <c r="B11" s="49" t="n">
        <v>2016</v>
      </c>
      <c r="C11" s="32" t="n">
        <v>957</v>
      </c>
      <c r="D11" s="32" t="n">
        <v>837</v>
      </c>
      <c r="E11" s="32" t="n">
        <v>740</v>
      </c>
      <c r="F11" s="32" t="n">
        <v>653</v>
      </c>
      <c r="G11" s="32" t="n">
        <v>664</v>
      </c>
      <c r="H11" s="32" t="n">
        <v>568</v>
      </c>
      <c r="I11" s="32" t="n">
        <v>560</v>
      </c>
      <c r="J11" s="32" t="n">
        <v>563</v>
      </c>
      <c r="K11" s="32" t="n">
        <v>520</v>
      </c>
      <c r="L11" s="32" t="n">
        <v>481</v>
      </c>
      <c r="M11" s="32" t="n">
        <v>484</v>
      </c>
      <c r="N11" s="32" t="n">
        <v>381</v>
      </c>
      <c r="O11" s="32" t="n">
        <v>361</v>
      </c>
      <c r="P11" s="32" t="n">
        <v>396</v>
      </c>
      <c r="Q11" s="32" t="n">
        <v>377</v>
      </c>
      <c r="S11" s="3" t="inlineStr">
        <is>
          <t>A second way of choosing the Census year moves the results by up to 0.8 points for Lane Cove (our 20 October 2026 review). The conclusions do not change.</t>
        </is>
      </c>
    </row>
    <row r="12">
      <c r="A12" s="34" t="inlineStr">
        <is>
          <t>North Sydney</t>
        </is>
      </c>
      <c r="B12" s="49" t="n">
        <v>2021</v>
      </c>
      <c r="C12" s="32" t="n">
        <v>848</v>
      </c>
      <c r="D12" s="32" t="n">
        <v>732</v>
      </c>
      <c r="E12" s="32" t="n">
        <v>661</v>
      </c>
      <c r="F12" s="32" t="n">
        <v>621</v>
      </c>
      <c r="G12" s="32" t="n">
        <v>570</v>
      </c>
      <c r="H12" s="32" t="n">
        <v>599</v>
      </c>
      <c r="I12" s="32" t="n">
        <v>589</v>
      </c>
      <c r="J12" s="32" t="n">
        <v>564</v>
      </c>
      <c r="K12" s="32" t="n">
        <v>543</v>
      </c>
      <c r="L12" s="32" t="n">
        <v>581</v>
      </c>
      <c r="M12" s="32" t="n">
        <v>483</v>
      </c>
      <c r="N12" s="32" t="n">
        <v>518</v>
      </c>
      <c r="O12" s="32" t="n">
        <v>504</v>
      </c>
      <c r="P12" s="32" t="n">
        <v>473</v>
      </c>
      <c r="Q12" s="32" t="n">
        <v>447</v>
      </c>
    </row>
    <row r="13">
      <c r="A13" s="34" t="inlineStr">
        <is>
          <t>Mosman</t>
        </is>
      </c>
      <c r="B13" s="49" t="n">
        <v>2016</v>
      </c>
      <c r="C13" s="32" t="n">
        <v>297</v>
      </c>
      <c r="D13" s="32" t="n">
        <v>276</v>
      </c>
      <c r="E13" s="32" t="n">
        <v>294</v>
      </c>
      <c r="F13" s="32" t="n">
        <v>298</v>
      </c>
      <c r="G13" s="32" t="n">
        <v>324</v>
      </c>
      <c r="H13" s="32" t="n">
        <v>333</v>
      </c>
      <c r="I13" s="32" t="n">
        <v>364</v>
      </c>
      <c r="J13" s="32" t="n">
        <v>347</v>
      </c>
      <c r="K13" s="32" t="n">
        <v>373</v>
      </c>
      <c r="L13" s="32" t="n">
        <v>370</v>
      </c>
      <c r="M13" s="32" t="n">
        <v>352</v>
      </c>
      <c r="N13" s="32" t="n">
        <v>334</v>
      </c>
      <c r="O13" s="32" t="n">
        <v>373</v>
      </c>
      <c r="P13" s="32" t="n">
        <v>330</v>
      </c>
      <c r="Q13" s="32" t="n">
        <v>354</v>
      </c>
    </row>
    <row r="14">
      <c r="A14" s="34" t="inlineStr">
        <is>
          <t>Mosman</t>
        </is>
      </c>
      <c r="B14" s="49" t="n">
        <v>2021</v>
      </c>
      <c r="C14" s="32" t="n">
        <v>240</v>
      </c>
      <c r="D14" s="32" t="n">
        <v>251</v>
      </c>
      <c r="E14" s="32" t="n">
        <v>240</v>
      </c>
      <c r="F14" s="32" t="n">
        <v>229</v>
      </c>
      <c r="G14" s="32" t="n">
        <v>256</v>
      </c>
      <c r="H14" s="32" t="n">
        <v>304</v>
      </c>
      <c r="I14" s="32" t="n">
        <v>273</v>
      </c>
      <c r="J14" s="32" t="n">
        <v>319</v>
      </c>
      <c r="K14" s="32" t="n">
        <v>293</v>
      </c>
      <c r="L14" s="32" t="n">
        <v>337</v>
      </c>
      <c r="M14" s="32" t="n">
        <v>366</v>
      </c>
      <c r="N14" s="32" t="n">
        <v>376</v>
      </c>
      <c r="O14" s="32" t="n">
        <v>376</v>
      </c>
      <c r="P14" s="32" t="n">
        <v>368</v>
      </c>
      <c r="Q14" s="32" t="n">
        <v>386</v>
      </c>
      <c r="S14" s="3" t="inlineStr">
        <is>
          <t>The 2022 intake came from a small group: 438 four-year-olds lived in Lane Cove at the 2021 Census, against 517 five-year-olds and 474 three-year-olds. Per five-year-old, the lower level starts with the 2023 intake.</t>
        </is>
      </c>
    </row>
    <row r="15">
      <c r="A15" s="34" t="inlineStr">
        <is>
          <t>Ryde</t>
        </is>
      </c>
      <c r="B15" s="49" t="n">
        <v>2016</v>
      </c>
      <c r="C15" s="32" t="n">
        <v>1330</v>
      </c>
      <c r="D15" s="32" t="n">
        <v>1444</v>
      </c>
      <c r="E15" s="32" t="n">
        <v>1441</v>
      </c>
      <c r="F15" s="32" t="n">
        <v>1508</v>
      </c>
      <c r="G15" s="32" t="n">
        <v>1400</v>
      </c>
      <c r="H15" s="32" t="n">
        <v>1330</v>
      </c>
      <c r="I15" s="32" t="n">
        <v>1337</v>
      </c>
      <c r="J15" s="32" t="n">
        <v>1254</v>
      </c>
      <c r="K15" s="32" t="n">
        <v>1323</v>
      </c>
      <c r="L15" s="32" t="n">
        <v>1202</v>
      </c>
      <c r="M15" s="32" t="n">
        <v>1128</v>
      </c>
      <c r="N15" s="32" t="n">
        <v>1114</v>
      </c>
      <c r="O15" s="32" t="n">
        <v>1080</v>
      </c>
      <c r="P15" s="32" t="n">
        <v>1080</v>
      </c>
      <c r="Q15" s="32" t="n">
        <v>1003</v>
      </c>
    </row>
    <row r="16">
      <c r="A16" s="34" t="inlineStr">
        <is>
          <t>Ryde</t>
        </is>
      </c>
      <c r="B16" s="49" t="n">
        <v>2021</v>
      </c>
      <c r="C16" s="32" t="n">
        <v>1433</v>
      </c>
      <c r="D16" s="32" t="n">
        <v>1449</v>
      </c>
      <c r="E16" s="32" t="n">
        <v>1435</v>
      </c>
      <c r="F16" s="32" t="n">
        <v>1424</v>
      </c>
      <c r="G16" s="32" t="n">
        <v>1522</v>
      </c>
      <c r="H16" s="32" t="n">
        <v>1496</v>
      </c>
      <c r="I16" s="32" t="n">
        <v>1511</v>
      </c>
      <c r="J16" s="32" t="n">
        <v>1458</v>
      </c>
      <c r="K16" s="32" t="n">
        <v>1514</v>
      </c>
      <c r="L16" s="32" t="n">
        <v>1443</v>
      </c>
      <c r="M16" s="32" t="n">
        <v>1321</v>
      </c>
      <c r="N16" s="32" t="n">
        <v>1271</v>
      </c>
      <c r="O16" s="32" t="n">
        <v>1248</v>
      </c>
      <c r="P16" s="32" t="n">
        <v>1250</v>
      </c>
      <c r="Q16" s="32" t="n">
        <v>1199</v>
      </c>
    </row>
    <row r="17">
      <c r="A17" s="34" t="inlineStr">
        <is>
          <t>Greater Sydney</t>
        </is>
      </c>
      <c r="B17" s="49" t="n">
        <v>2016</v>
      </c>
      <c r="C17" s="32" t="n">
        <v>58863</v>
      </c>
      <c r="D17" s="32" t="n">
        <v>62744</v>
      </c>
      <c r="E17" s="32" t="n">
        <v>62483</v>
      </c>
      <c r="F17" s="32" t="n">
        <v>62961</v>
      </c>
      <c r="G17" s="32" t="n">
        <v>63122</v>
      </c>
      <c r="H17" s="32" t="n">
        <v>62442</v>
      </c>
      <c r="I17" s="32" t="n">
        <v>62965</v>
      </c>
      <c r="J17" s="32" t="n">
        <v>61194</v>
      </c>
      <c r="K17" s="32" t="n">
        <v>61790</v>
      </c>
      <c r="L17" s="32" t="n">
        <v>60853</v>
      </c>
      <c r="M17" s="32" t="n">
        <v>58549</v>
      </c>
      <c r="N17" s="32" t="n">
        <v>56556</v>
      </c>
      <c r="O17" s="32" t="n">
        <v>55853</v>
      </c>
      <c r="P17" s="32" t="n">
        <v>55697</v>
      </c>
      <c r="Q17" s="32" t="n">
        <v>54233</v>
      </c>
    </row>
    <row r="18">
      <c r="A18" s="34" t="inlineStr">
        <is>
          <t>Greater Sydney</t>
        </is>
      </c>
      <c r="B18" s="49" t="n">
        <v>2021</v>
      </c>
      <c r="C18" s="32" t="n">
        <v>61363</v>
      </c>
      <c r="D18" s="32" t="n">
        <v>62225</v>
      </c>
      <c r="E18" s="32" t="n">
        <v>62565</v>
      </c>
      <c r="F18" s="32" t="n">
        <v>62214</v>
      </c>
      <c r="G18" s="32" t="n">
        <v>64006</v>
      </c>
      <c r="H18" s="32" t="n">
        <v>65452</v>
      </c>
      <c r="I18" s="32" t="n">
        <v>65004</v>
      </c>
      <c r="J18" s="32" t="n">
        <v>65795</v>
      </c>
      <c r="K18" s="32" t="n">
        <v>66350</v>
      </c>
      <c r="L18" s="32" t="n">
        <v>66471</v>
      </c>
      <c r="M18" s="32" t="n">
        <v>65269</v>
      </c>
      <c r="N18" s="32" t="n">
        <v>65355</v>
      </c>
      <c r="O18" s="32" t="n">
        <v>64129</v>
      </c>
      <c r="P18" s="32" t="n">
        <v>63925</v>
      </c>
      <c r="Q18" s="32" t="n">
        <v>63100</v>
      </c>
      <c r="S18" s="3" t="inlineStr">
        <is>
          <t>Lane Cove's figure is above 100 partly because Mowbray's and Greenwich's catchments reach beyond the council area. Figures near 100 are normal: the six councils sit at about 100 and Greater Sydney just under.</t>
        </is>
      </c>
    </row>
    <row r="19"/>
    <row r="20" ht="28.5" customHeight="1">
      <c r="A20" s="34" t="inlineStr">
        <is>
          <t>Estimated five-year-olds at 30 June</t>
        </is>
      </c>
    </row>
    <row r="21" ht="42" customHeight="1">
      <c r="A21" s="26" t="inlineStr">
        <is>
          <t>Year</t>
        </is>
      </c>
      <c r="B21" s="26" t="inlineStr">
        <is>
          <t>Lane Cove</t>
        </is>
      </c>
      <c r="C21" s="26" t="inlineStr">
        <is>
          <t>Willoughby</t>
        </is>
      </c>
      <c r="D21" s="26" t="inlineStr">
        <is>
          <t>Hunters Hill</t>
        </is>
      </c>
      <c r="E21" s="26" t="inlineStr">
        <is>
          <t>North Sydney</t>
        </is>
      </c>
      <c r="F21" s="26" t="inlineStr">
        <is>
          <t>Mosman</t>
        </is>
      </c>
      <c r="G21" s="26" t="inlineStr">
        <is>
          <t>Ryde</t>
        </is>
      </c>
      <c r="H21" s="26" t="inlineStr">
        <is>
          <t>Greater Sydney</t>
        </is>
      </c>
      <c r="I21" s="26" t="inlineStr">
        <is>
          <t>Six councils</t>
        </is>
      </c>
    </row>
    <row r="22">
      <c r="A22" s="31" t="n">
        <v>2016</v>
      </c>
      <c r="B22" s="44">
        <f>'Resident children ratio'!P5*H5/SUM(H5:L5)</f>
        <v>392.04495412844</v>
      </c>
      <c r="C22" s="44">
        <f>'Resident children ratio'!Q5*H7/SUM(H7:L7)</f>
        <v>1120.02407796675</v>
      </c>
      <c r="D22" s="44">
        <f>'Resident children ratio'!R5*H9/SUM(H9:L9)</f>
        <v>164.571428571429</v>
      </c>
      <c r="E22" s="44">
        <f>'Resident children ratio'!S5*H11/SUM(H11:L11)</f>
        <v>606.190193164933</v>
      </c>
      <c r="F22" s="44">
        <f>'Resident children ratio'!T5*H13/SUM(H13:L13)</f>
        <v>347.907666480134</v>
      </c>
      <c r="G22" s="44">
        <f>'Resident children ratio'!U5*H15/SUM(H15:L15)</f>
        <v>1388.59757989451</v>
      </c>
      <c r="H22" s="44">
        <f>'Resident children ratio'!M5*H17/SUM(H17:L17)</f>
        <v>65043.5144287359</v>
      </c>
      <c r="I22" s="44">
        <f>SUM(B22:G22)</f>
        <v>4019.33590020619</v>
      </c>
      <c r="S22" s="3" t="inlineStr">
        <is>
          <t>The five schools are the article's (Mowbray in, Currambena out). The six councils' kindergarten counts every school there, Mowbray once, in Willoughby.</t>
        </is>
      </c>
    </row>
    <row r="23">
      <c r="A23" s="31" t="n">
        <v>2017</v>
      </c>
      <c r="B23" s="44">
        <f>'Resident children ratio'!P6*G5/SUM(G5:K5)</f>
        <v>530.237432675045</v>
      </c>
      <c r="C23" s="44">
        <f>'Resident children ratio'!Q6*G7/SUM(G7:K7)</f>
        <v>1059.15879992356</v>
      </c>
      <c r="D23" s="44">
        <f>'Resident children ratio'!R6*G9/SUM(G9:K9)</f>
        <v>171.13190529876</v>
      </c>
      <c r="E23" s="44">
        <f>'Resident children ratio'!S6*G11/SUM(G11:K11)</f>
        <v>688.712347826087</v>
      </c>
      <c r="F23" s="44">
        <f>'Resident children ratio'!T6*G13/SUM(G13:K13)</f>
        <v>344.098793796669</v>
      </c>
      <c r="G23" s="44">
        <f>'Resident children ratio'!U6*G15/SUM(G15:K15)</f>
        <v>1463.63636363636</v>
      </c>
      <c r="H23" s="44">
        <f>'Resident children ratio'!M6*G17/SUM(G17:K17)</f>
        <v>66520.3142340769</v>
      </c>
      <c r="I23" s="44">
        <f>SUM(B23:G23)</f>
        <v>4256.97564315649</v>
      </c>
    </row>
    <row r="24">
      <c r="A24" s="31" t="n">
        <v>2018</v>
      </c>
      <c r="B24" s="44">
        <f>'Resident children ratio'!P7*F5/SUM(F5:J5)</f>
        <v>531.717563989409</v>
      </c>
      <c r="C24" s="44">
        <f>'Resident children ratio'!Q7*F7/SUM(F7:J7)</f>
        <v>1127.38765852735</v>
      </c>
      <c r="D24" s="44">
        <f>'Resident children ratio'!R7*F9/SUM(F9:J9)</f>
        <v>165.805489260143</v>
      </c>
      <c r="E24" s="44">
        <f>'Resident children ratio'!S7*F11/SUM(F11:J11)</f>
        <v>652.348736702128</v>
      </c>
      <c r="F24" s="44">
        <f>'Resident children ratio'!T7*F13/SUM(F13:J13)</f>
        <v>319.643457382953</v>
      </c>
      <c r="G24" s="44">
        <f>'Resident children ratio'!U7*F15/SUM(F15:J15)</f>
        <v>1571.37618977888</v>
      </c>
      <c r="H24" s="44">
        <f>'Resident children ratio'!M7*F17/SUM(F17:J17)</f>
        <v>66774.8961411521</v>
      </c>
      <c r="I24" s="44">
        <f>SUM(B24:G24)</f>
        <v>4368.27909564087</v>
      </c>
    </row>
    <row r="25">
      <c r="A25" s="31" t="n">
        <v>2019</v>
      </c>
      <c r="B25" s="44">
        <f>'Resident children ratio'!P8*J6/SUM(J6:N6)</f>
        <v>469.387626262626</v>
      </c>
      <c r="C25" s="44">
        <f>'Resident children ratio'!Q8*J8/SUM(J8:N8)</f>
        <v>1111.44988696307</v>
      </c>
      <c r="D25" s="44">
        <f>'Resident children ratio'!R8*J10/SUM(J10:N10)</f>
        <v>155.298309178744</v>
      </c>
      <c r="E25" s="44">
        <f>'Resident children ratio'!S8*J12/SUM(J12:N12)</f>
        <v>624.406098921532</v>
      </c>
      <c r="F25" s="44">
        <f>'Resident children ratio'!T8*J14/SUM(J14:N14)</f>
        <v>328.243642814902</v>
      </c>
      <c r="G25" s="44">
        <f>'Resident children ratio'!U8*J16/SUM(J16:N16)</f>
        <v>1532.90794919366</v>
      </c>
      <c r="H25" s="44">
        <f>'Resident children ratio'!M8*J18/SUM(J18:N18)</f>
        <v>66835.1621157818</v>
      </c>
      <c r="I25" s="44">
        <f>SUM(B25:G25)</f>
        <v>4221.69351333454</v>
      </c>
      <c r="S25" s="27" t="inlineStr">
        <is>
          <t>Sources</t>
        </is>
      </c>
    </row>
    <row r="26">
      <c r="A26" s="31" t="n">
        <v>2020</v>
      </c>
      <c r="B26" s="44">
        <f>'Resident children ratio'!P9*I6/SUM(I6:M6)</f>
        <v>531.315240083507</v>
      </c>
      <c r="C26" s="44">
        <f>'Resident children ratio'!Q9*I8/SUM(I8:M8)</f>
        <v>1101.64459996217</v>
      </c>
      <c r="D26" s="44">
        <f>'Resident children ratio'!R9*I10/SUM(I10:M10)</f>
        <v>146.371681415929</v>
      </c>
      <c r="E26" s="44">
        <f>'Resident children ratio'!S9*I12/SUM(I12:M12)</f>
        <v>623.358333333333</v>
      </c>
      <c r="F26" s="44">
        <f>'Resident children ratio'!T9*I14/SUM(I14:M14)</f>
        <v>284.346347607053</v>
      </c>
      <c r="G26" s="44">
        <f>'Resident children ratio'!U9*I16/SUM(I16:M16)</f>
        <v>1555.61901476473</v>
      </c>
      <c r="H26" s="44">
        <f>'Resident children ratio'!M9*I18/SUM(I18:M18)</f>
        <v>66133.553922448</v>
      </c>
      <c r="I26" s="44">
        <f>SUM(B26:G26)</f>
        <v>4242.65521716672</v>
      </c>
      <c r="S26" s="42" t="inlineStr">
        <is>
          <t>ABS 2016 Census community profiles (General Community Profile), Lane Cove LGA</t>
        </is>
      </c>
    </row>
    <row r="27">
      <c r="A27" s="31" t="n">
        <v>2021</v>
      </c>
      <c r="B27" s="44">
        <f>'Resident children ratio'!P10*H6/SUM(H6:L6)</f>
        <v>514.955713720838</v>
      </c>
      <c r="C27" s="44">
        <f>'Resident children ratio'!Q10*H8/SUM(H8:L8)</f>
        <v>977.300115874855</v>
      </c>
      <c r="D27" s="44">
        <f>'Resident children ratio'!R10*H10/SUM(H10:L10)</f>
        <v>138.684210526316</v>
      </c>
      <c r="E27" s="44">
        <f>'Resident children ratio'!S10*H12/SUM(H12:L12)</f>
        <v>602.748956884562</v>
      </c>
      <c r="F27" s="44">
        <f>'Resident children ratio'!T10*H14/SUM(H14:L14)</f>
        <v>309.577981651376</v>
      </c>
      <c r="G27" s="44">
        <f>'Resident children ratio'!U10*H16/SUM(H16:L16)</f>
        <v>1501.84532471032</v>
      </c>
      <c r="H27" s="44">
        <f>'Resident children ratio'!M10*H18/SUM(H18:L18)</f>
        <v>66085.8902246317</v>
      </c>
      <c r="I27" s="44">
        <f>SUM(B27:G27)</f>
        <v>4045.11230336827</v>
      </c>
      <c r="S27" s="42" t="inlineStr">
        <is>
          <t>ABS 2021 Census community profiles (General Community Profile and Time Series Profile), Lane Cove LGA</t>
        </is>
      </c>
    </row>
    <row r="28">
      <c r="A28" s="31" t="n">
        <v>2022</v>
      </c>
      <c r="B28" s="44">
        <f>'Resident children ratio'!P11*G6/SUM(G6:K6)</f>
        <v>436.559210526316</v>
      </c>
      <c r="C28" s="44">
        <f>'Resident children ratio'!Q11*G8/SUM(G8:K8)</f>
        <v>921.068423122297</v>
      </c>
      <c r="D28" s="44">
        <f>'Resident children ratio'!R11*G10/SUM(G10:K10)</f>
        <v>145.427785419532</v>
      </c>
      <c r="E28" s="44">
        <f>'Resident children ratio'!S11*G12/SUM(G12:K12)</f>
        <v>533.392670157068</v>
      </c>
      <c r="F28" s="44">
        <f>'Resident children ratio'!T11*G14/SUM(G14:K14)</f>
        <v>265.035294117647</v>
      </c>
      <c r="G28" s="44">
        <f>'Resident children ratio'!U11*G16/SUM(G16:K16)</f>
        <v>1499.07159045461</v>
      </c>
      <c r="H28" s="44">
        <f>'Resident children ratio'!M11*G18/SUM(G18:K18)</f>
        <v>64652.3174028726</v>
      </c>
      <c r="I28" s="44">
        <f>SUM(B28:G28)</f>
        <v>3800.55497379747</v>
      </c>
      <c r="S28" s="42" t="inlineStr">
        <is>
          <t>ABS 2016 Census community profiles (General Community Profile), Willoughby LGA</t>
        </is>
      </c>
    </row>
    <row r="29">
      <c r="A29" s="31" t="n">
        <v>2023</v>
      </c>
      <c r="B29" s="44">
        <f>'Resident children ratio'!P12*F6/SUM(F6:J6)</f>
        <v>477.577358490566</v>
      </c>
      <c r="C29" s="44">
        <f>'Resident children ratio'!Q12*F8/SUM(F8:J8)</f>
        <v>856.405568252649</v>
      </c>
      <c r="D29" s="44">
        <f>'Resident children ratio'!R12*F10/SUM(F10:J10)</f>
        <v>126.521609538003</v>
      </c>
      <c r="E29" s="44">
        <f>'Resident children ratio'!S12*F12/SUM(F12:J12)</f>
        <v>569.51376146789</v>
      </c>
      <c r="F29" s="44">
        <f>'Resident children ratio'!T12*F14/SUM(F14:J14)</f>
        <v>247.40622737147</v>
      </c>
      <c r="G29" s="44">
        <f>'Resident children ratio'!U12*F16/SUM(F16:J16)</f>
        <v>1372.50465524221</v>
      </c>
      <c r="H29" s="44">
        <f>'Resident children ratio'!M12*F18/SUM(F18:J18)</f>
        <v>63391.8314018935</v>
      </c>
      <c r="I29" s="44">
        <f>SUM(B29:G29)</f>
        <v>3649.92918036279</v>
      </c>
      <c r="S29" s="42" t="inlineStr">
        <is>
          <t>ABS 2016 Census community profiles (General Community Profile), Hunters Hill LGA</t>
        </is>
      </c>
    </row>
    <row r="30">
      <c r="A30" s="31" t="n">
        <v>2024</v>
      </c>
      <c r="B30" s="44">
        <f>'Resident children ratio'!P13*E6/SUM(E6:I6)</f>
        <v>459.654856190079</v>
      </c>
      <c r="C30" s="44">
        <f>'Resident children ratio'!Q13*E8/SUM(E8:I8)</f>
        <v>816.895443539511</v>
      </c>
      <c r="D30" s="44">
        <f>'Resident children ratio'!R13*E10/SUM(E10:I10)</f>
        <v>130.669811320755</v>
      </c>
      <c r="E30" s="44">
        <f>'Resident children ratio'!S13*E12/SUM(E12:I12)</f>
        <v>575.548355263158</v>
      </c>
      <c r="F30" s="44">
        <f>'Resident children ratio'!T13*E14/SUM(E14:I14)</f>
        <v>273.364055299539</v>
      </c>
      <c r="G30" s="44">
        <f>'Resident children ratio'!U13*E16/SUM(E16:I16)</f>
        <v>1377.89523551705</v>
      </c>
      <c r="H30" s="44">
        <f>'Resident children ratio'!M13*E18/SUM(E18:I18)</f>
        <v>64191.4418887298</v>
      </c>
      <c r="I30" s="44">
        <f>SUM(B30:G30)</f>
        <v>3634.0277571301</v>
      </c>
      <c r="S30" s="42" t="inlineStr">
        <is>
          <t>ABS 2016 Census community profiles (General Community Profile), North Sydney LGA</t>
        </is>
      </c>
    </row>
    <row r="31">
      <c r="A31" s="31" t="n">
        <v>2025</v>
      </c>
      <c r="B31" s="44">
        <f>'Resident children ratio'!P14*D6/SUM(D6:H6)</f>
        <v>489.6</v>
      </c>
      <c r="C31" s="44">
        <f>'Resident children ratio'!Q14*D8/SUM(D8:H8)</f>
        <v>791.627469426152</v>
      </c>
      <c r="D31" s="44">
        <f>'Resident children ratio'!R14*D10/SUM(D10:H10)</f>
        <v>114.175379426644</v>
      </c>
      <c r="E31" s="44">
        <f>'Resident children ratio'!S14*D12/SUM(D12:H12)</f>
        <v>590.337417530632</v>
      </c>
      <c r="F31" s="44">
        <f>'Resident children ratio'!T14*D14/SUM(D14:H14)</f>
        <v>284.92421875</v>
      </c>
      <c r="G31" s="44">
        <f>'Resident children ratio'!U14*D16/SUM(D16:H16)</f>
        <v>1380.7628992629</v>
      </c>
      <c r="H31" s="44">
        <f>'Resident children ratio'!M14*D18/SUM(D18:H18)</f>
        <v>63962.3969070536</v>
      </c>
      <c r="I31" s="44">
        <f>SUM(B31:G31)</f>
        <v>3651.42738439633</v>
      </c>
      <c r="S31" s="42" t="inlineStr">
        <is>
          <t>ABS 2016 Census community profiles (General Community Profile), Mosman LGA</t>
        </is>
      </c>
    </row>
    <row r="32">
      <c r="S32" s="42" t="inlineStr">
        <is>
          <t>ABS 2016 Census community profiles (General Community Profile), Ryde LGA</t>
        </is>
      </c>
    </row>
    <row r="33" ht="28.5" customHeight="1">
      <c r="A33" s="34" t="inlineStr">
        <is>
          <t>Kindergarten per 100 five-year-olds</t>
        </is>
      </c>
      <c r="S33" s="42" t="inlineStr">
        <is>
          <t>ABS 2021 Census community profile (Time Series Profile), Willoughby LGA</t>
        </is>
      </c>
    </row>
    <row r="34" ht="70" customHeight="1">
      <c r="A34" s="26" t="inlineStr">
        <is>
          <t>Year</t>
        </is>
      </c>
      <c r="B34" s="26" t="inlineStr">
        <is>
          <t>Five schools in and around Lane Cove: kindergarten</t>
        </is>
      </c>
      <c r="C34" s="26" t="inlineStr">
        <is>
          <t>Five schools in and around Lane Cove: per 100 five-year-olds</t>
        </is>
      </c>
      <c r="D34" s="26" t="inlineStr">
        <is>
          <t>Six councils, every school: kindergarten</t>
        </is>
      </c>
      <c r="E34" s="26" t="inlineStr">
        <is>
          <t>Six councils, every school: per 100 five-year-olds</t>
        </is>
      </c>
      <c r="F34" s="26" t="inlineStr">
        <is>
          <t>Greater Sydney: kindergarten</t>
        </is>
      </c>
      <c r="G34" s="26" t="inlineStr">
        <is>
          <t>Greater Sydney: per 100 five-year-olds</t>
        </is>
      </c>
      <c r="S34" s="42" t="inlineStr">
        <is>
          <t>ABS 2021 Census community profile (Time Series Profile), Hunters Hill LGA</t>
        </is>
      </c>
    </row>
    <row r="35">
      <c r="A35" s="31" t="n">
        <v>2016</v>
      </c>
      <c r="B35" s="33">
        <f>'Kindergarten'!H15</f>
        <v>443</v>
      </c>
      <c r="C35" s="44">
        <f>B35/B22*100</f>
        <v>112.997245681898</v>
      </c>
      <c r="D35" s="33">
        <f>'Resident children ratio'!I5</f>
        <v>4160</v>
      </c>
      <c r="E35" s="44">
        <f>D35/I22*100</f>
        <v>103.499685104362</v>
      </c>
      <c r="F35" s="33">
        <f>'Resident children ratio'!L5</f>
        <v>64701</v>
      </c>
      <c r="G35" s="44">
        <f>F35/H22*100</f>
        <v>99.4734072539836</v>
      </c>
      <c r="S35" s="42" t="inlineStr">
        <is>
          <t>ABS 2021 Census community profile (Time Series Profile), North Sydney LGA</t>
        </is>
      </c>
    </row>
    <row r="36">
      <c r="A36" s="31" t="n">
        <v>2017</v>
      </c>
      <c r="B36" s="33">
        <f>'Kindergarten'!H16</f>
        <v>502</v>
      </c>
      <c r="C36" s="44">
        <f>B36/B23*100</f>
        <v>94.6745682339726</v>
      </c>
      <c r="D36" s="33">
        <f>'Resident children ratio'!I6</f>
        <v>4275</v>
      </c>
      <c r="E36" s="44">
        <f>D36/I23*100</f>
        <v>100.42340756336</v>
      </c>
      <c r="F36" s="33">
        <f>'Resident children ratio'!L6</f>
        <v>65694</v>
      </c>
      <c r="G36" s="44">
        <f>F36/H23*100</f>
        <v>98.7578016676692</v>
      </c>
      <c r="S36" s="42" t="inlineStr">
        <is>
          <t>ABS 2021 Census community profile (Time Series Profile), Mosman LGA</t>
        </is>
      </c>
    </row>
    <row r="37">
      <c r="A37" s="31" t="n">
        <v>2018</v>
      </c>
      <c r="B37" s="33">
        <f>'Kindergarten'!H17</f>
        <v>518</v>
      </c>
      <c r="C37" s="44">
        <f>B37/B24*100</f>
        <v>97.4201408946345</v>
      </c>
      <c r="D37" s="33">
        <f>'Resident children ratio'!I7</f>
        <v>4403</v>
      </c>
      <c r="E37" s="44">
        <f>D37/I24*100</f>
        <v>100.794841712238</v>
      </c>
      <c r="F37" s="33">
        <f>'Resident children ratio'!L7</f>
        <v>66904</v>
      </c>
      <c r="G37" s="44">
        <f>F37/H24*100</f>
        <v>100.193341908874</v>
      </c>
      <c r="S37" s="42" t="inlineStr">
        <is>
          <t>ABS 2021 Census community profile (Time Series Profile), Ryde LGA</t>
        </is>
      </c>
    </row>
    <row r="38">
      <c r="A38" s="31" t="n">
        <v>2019</v>
      </c>
      <c r="B38" s="33">
        <f>'Kindergarten'!H18</f>
        <v>512</v>
      </c>
      <c r="C38" s="44">
        <f>B38/B25*100</f>
        <v>109.078290809808</v>
      </c>
      <c r="D38" s="33">
        <f>'Resident children ratio'!I8</f>
        <v>4294</v>
      </c>
      <c r="E38" s="44">
        <f>D38/I25*100</f>
        <v>101.712736522371</v>
      </c>
      <c r="F38" s="33">
        <f>'Resident children ratio'!L8</f>
        <v>66013</v>
      </c>
      <c r="G38" s="44">
        <f>F38/H25*100</f>
        <v>98.7698659062762</v>
      </c>
      <c r="S38" s="42" t="inlineStr">
        <is>
          <t>ABS 2016 Census community profiles (General Community Profile), Greater Sydney</t>
        </is>
      </c>
    </row>
    <row r="39">
      <c r="A39" s="31" t="n">
        <v>2020</v>
      </c>
      <c r="B39" s="33">
        <f>'Kindergarten'!H19</f>
        <v>466</v>
      </c>
      <c r="C39" s="44">
        <f>B39/B26*100</f>
        <v>87.7068762278978</v>
      </c>
      <c r="D39" s="33">
        <f>'Resident children ratio'!I9</f>
        <v>4172</v>
      </c>
      <c r="E39" s="44">
        <f>D39/I26*100</f>
        <v>98.3346462639519</v>
      </c>
      <c r="F39" s="33">
        <f>'Resident children ratio'!L9</f>
        <v>65984</v>
      </c>
      <c r="G39" s="44">
        <f>F39/H26*100</f>
        <v>99.7738607505906</v>
      </c>
      <c r="S39" s="42" t="inlineStr">
        <is>
          <t>ABS 2021 Census community profiles (General Community Profile), Greater Sydney</t>
        </is>
      </c>
    </row>
    <row r="40">
      <c r="A40" s="31" t="n">
        <v>2021</v>
      </c>
      <c r="B40" s="33">
        <f>'Kindergarten'!H20</f>
        <v>514</v>
      </c>
      <c r="C40" s="44">
        <f>B40/B27*100</f>
        <v>99.8144085607027</v>
      </c>
      <c r="D40" s="33">
        <f>'Resident children ratio'!I10</f>
        <v>4034</v>
      </c>
      <c r="E40" s="44">
        <f>D40/I27*100</f>
        <v>99.725290609138</v>
      </c>
      <c r="F40" s="33">
        <f>'Resident children ratio'!L10</f>
        <v>65250</v>
      </c>
      <c r="G40" s="44">
        <f>F40/H27*100</f>
        <v>98.7351456993461</v>
      </c>
      <c r="S40" s="42" t="inlineStr">
        <is>
          <t>ABS Regional population by age and sex 2025 (32350DS0006)</t>
        </is>
      </c>
    </row>
    <row r="41">
      <c r="A41" s="31" t="n">
        <v>2022</v>
      </c>
      <c r="B41" s="33">
        <f>'Kindergarten'!H21</f>
        <v>444</v>
      </c>
      <c r="C41" s="44">
        <f>B41/B28*100</f>
        <v>101.704417017044</v>
      </c>
      <c r="D41" s="33">
        <f>'Resident children ratio'!I11</f>
        <v>3925</v>
      </c>
      <c r="E41" s="44">
        <f>D41/I28*100</f>
        <v>103.274390899764</v>
      </c>
      <c r="F41" s="33">
        <f>'Resident children ratio'!L11</f>
        <v>64797</v>
      </c>
      <c r="G41" s="44">
        <f>F41/H28*100</f>
        <v>100.223785632038</v>
      </c>
      <c r="S41" s="42" t="inlineStr">
        <is>
          <t>ABS Data API: estimated resident population by age, Greater Sydney (ERP_ASGS2021)</t>
        </is>
      </c>
    </row>
    <row r="42">
      <c r="A42" s="31" t="n">
        <v>2023</v>
      </c>
      <c r="B42" s="33">
        <f>'Kindergarten'!H22</f>
        <v>426</v>
      </c>
      <c r="C42" s="44">
        <f>B42/B29*100</f>
        <v>89.2002086000095</v>
      </c>
      <c r="D42" s="33">
        <f>'Resident children ratio'!I12</f>
        <v>3637</v>
      </c>
      <c r="E42" s="44">
        <f>D42/I29*100</f>
        <v>99.6457690074551</v>
      </c>
      <c r="F42" s="33">
        <f>'Resident children ratio'!L12</f>
        <v>63430</v>
      </c>
      <c r="G42" s="44">
        <f>F42/H29*100</f>
        <v>100.060210593798</v>
      </c>
      <c r="S42" s="42" t="inlineStr">
        <is>
          <t>ACARA Data Access Program: Enrolments by Grade 2008-2025 and School Locations 2025</t>
        </is>
      </c>
    </row>
    <row r="43">
      <c r="A43" s="31" t="n">
        <v>2024</v>
      </c>
      <c r="B43" s="33">
        <f>'Kindergarten'!H23</f>
        <v>417</v>
      </c>
      <c r="C43" s="44">
        <f>B43/B30*100</f>
        <v>90.7202424567793</v>
      </c>
      <c r="D43" s="33">
        <f>'Resident children ratio'!I13</f>
        <v>3564</v>
      </c>
      <c r="E43" s="44">
        <f>D43/I30*100</f>
        <v>98.0729988373727</v>
      </c>
      <c r="F43" s="33">
        <f>'Resident children ratio'!L13</f>
        <v>62957</v>
      </c>
      <c r="G43" s="44">
        <f>F43/H30*100</f>
        <v>98.0769369679067</v>
      </c>
    </row>
    <row r="44">
      <c r="A44" s="31" t="n">
        <v>2025</v>
      </c>
      <c r="B44" s="33">
        <f>'Kindergarten'!H24</f>
        <v>395</v>
      </c>
      <c r="C44" s="44">
        <f>B44/B31*100</f>
        <v>80.6781045751634</v>
      </c>
      <c r="D44" s="33">
        <f>'Resident children ratio'!I14</f>
        <v>3436</v>
      </c>
      <c r="E44" s="44">
        <f>D44/I31*100</f>
        <v>94.1001870852775</v>
      </c>
      <c r="F44" s="33">
        <f>'Resident children ratio'!L14</f>
        <v>61729</v>
      </c>
      <c r="G44" s="44">
        <f>F44/H31*100</f>
        <v>96.5082657701226</v>
      </c>
    </row>
    <row r="45"/>
    <row r="46">
      <c r="A46" s="34" t="inlineStr">
        <is>
          <t>Yearly average, 2016 to 2019</t>
        </is>
      </c>
      <c r="B46" s="44">
        <f>AVERAGE(B35:B38)</f>
        <v>493.75</v>
      </c>
      <c r="C46" s="44">
        <f>B46/AVERAGE(B22:B25)*100</f>
        <v>102.683412514471</v>
      </c>
      <c r="D46" s="44">
        <f>AVERAGE(D35:D38)</f>
        <v>4283</v>
      </c>
      <c r="E46" s="44">
        <f>D46/AVERAGE(I22:I25)*100</f>
        <v>101.575426129798</v>
      </c>
      <c r="F46" s="44">
        <f>AVERAGE(F35:F38)</f>
        <v>65828</v>
      </c>
      <c r="G46" s="44">
        <f>F46/AVERAGE(H22:H25)*100</f>
        <v>99.2978618892779</v>
      </c>
    </row>
    <row r="47">
      <c r="A47" s="34" t="inlineStr">
        <is>
          <t>Yearly average, 2023 to 2025</t>
        </is>
      </c>
      <c r="B47" s="44">
        <f>AVERAGE(B42:B44)</f>
        <v>412.666666666667</v>
      </c>
      <c r="C47" s="44">
        <f>B47/AVERAGE(B29:B31)*100</f>
        <v>86.7656327956606</v>
      </c>
      <c r="D47" s="44">
        <f>AVERAGE(D42:D44)</f>
        <v>3545.66666666667</v>
      </c>
      <c r="E47" s="44">
        <f>D47/AVERAGE(I29:I31)*100</f>
        <v>97.2713869663278</v>
      </c>
      <c r="F47" s="44">
        <f>AVERAGE(F42:F44)</f>
        <v>62705.3333333333</v>
      </c>
      <c r="G47" s="44">
        <f>F47/AVERAGE(H29:H31)*100</f>
        <v>98.2094765211151</v>
      </c>
    </row>
    <row r="48" ht="28.5" customHeight="1">
      <c r="A48" s="34" t="inlineStr">
        <is>
          <t>Change between the two periods</t>
        </is>
      </c>
      <c r="C48" s="37">
        <f>C47/C46-1</f>
        <v>-0.155018024128939</v>
      </c>
      <c r="E48" s="37">
        <f>E47/E46-1</f>
        <v>-0.0423728388593736</v>
      </c>
      <c r="G48" s="37">
        <f>G47/G46-1</f>
        <v>-0.0109608137320866</v>
      </c>
    </row>
  </sheetData>
  <mergeCells count="5">
    <mergeCell ref="S11:S12"/>
    <mergeCell ref="S18:S20"/>
    <mergeCell ref="S22:S23"/>
    <mergeCell ref="S5:S9"/>
    <mergeCell ref="S14:S16"/>
  </mergeCells>
  <hyperlinks>
    <hyperlink xmlns:r="http://schemas.openxmlformats.org/officeDocument/2006/relationships" ref="A2" r:id="rId1"/>
    <hyperlink xmlns:r="http://schemas.openxmlformats.org/officeDocument/2006/relationships" ref="S5" r:id="rId2"/>
    <hyperlink xmlns:r="http://schemas.openxmlformats.org/officeDocument/2006/relationships" ref="S26" r:id="rId3"/>
    <hyperlink xmlns:r="http://schemas.openxmlformats.org/officeDocument/2006/relationships" ref="S27" r:id="rId4"/>
    <hyperlink xmlns:r="http://schemas.openxmlformats.org/officeDocument/2006/relationships" ref="S28" r:id="rId5"/>
    <hyperlink xmlns:r="http://schemas.openxmlformats.org/officeDocument/2006/relationships" ref="S29" r:id="rId6"/>
    <hyperlink xmlns:r="http://schemas.openxmlformats.org/officeDocument/2006/relationships" ref="S30" r:id="rId7"/>
    <hyperlink xmlns:r="http://schemas.openxmlformats.org/officeDocument/2006/relationships" ref="S31" r:id="rId8"/>
    <hyperlink xmlns:r="http://schemas.openxmlformats.org/officeDocument/2006/relationships" ref="S32" r:id="rId9"/>
    <hyperlink xmlns:r="http://schemas.openxmlformats.org/officeDocument/2006/relationships" ref="S33" r:id="rId10"/>
    <hyperlink xmlns:r="http://schemas.openxmlformats.org/officeDocument/2006/relationships" ref="S34" r:id="rId11"/>
    <hyperlink xmlns:r="http://schemas.openxmlformats.org/officeDocument/2006/relationships" ref="S35" r:id="rId12"/>
    <hyperlink xmlns:r="http://schemas.openxmlformats.org/officeDocument/2006/relationships" ref="S36" r:id="rId13"/>
    <hyperlink xmlns:r="http://schemas.openxmlformats.org/officeDocument/2006/relationships" ref="S37" r:id="rId14"/>
    <hyperlink xmlns:r="http://schemas.openxmlformats.org/officeDocument/2006/relationships" ref="S38" r:id="rId15"/>
    <hyperlink xmlns:r="http://schemas.openxmlformats.org/officeDocument/2006/relationships" ref="S39" r:id="rId16"/>
    <hyperlink xmlns:r="http://schemas.openxmlformats.org/officeDocument/2006/relationships" ref="S40" r:id="rId17"/>
    <hyperlink xmlns:r="http://schemas.openxmlformats.org/officeDocument/2006/relationships" ref="S41" r:id="rId18"/>
    <hyperlink xmlns:r="http://schemas.openxmlformats.org/officeDocument/2006/relationships" ref="S42" r:id="rId19"/>
  </hyperlinks>
  <printOptions gridLines="0"/>
  <pageMargins left="0.75" right="0.75" top="1" bottom="1" header="0.5" footer="0.5"/>
  <pageSetup orientation="landscape" paperSize="9" fitToHeight="0" fitToWidth="1"/>
</worksheet>
</file>

<file path=xl/worksheets/sheet19.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3" customWidth="1" min="3" max="3"/>
    <col width="12" customWidth="1" min="4" max="4"/>
    <col width="13" customWidth="1" min="5" max="5"/>
    <col width="11" customWidth="1" min="6" max="6"/>
    <col width="12" customWidth="1" min="7" max="7"/>
    <col width="14" customWidth="1" min="8" max="8"/>
    <col width="13" customWidth="1" min="9" max="9"/>
    <col width="14" customWidth="1" min="10" max="10"/>
    <col width="3" customWidth="1" min="11" max="11"/>
    <col width="95" customWidth="1" min="12" max="12"/>
  </cols>
  <sheetData>
    <row r="1">
      <c r="A1" s="7" t="inlineStr">
        <is>
          <t>Enrolment caps at the public schools in and around Lane Cove, 2020 and 2021</t>
        </is>
      </c>
    </row>
    <row r="2">
      <c r="A2" s="25" t="inlineStr">
        <is>
          <t>Caps as tabled in NSW Parliament (Budget Estimates 2019-2020 and 2020-2021), set against ACARA's August enrolments and kindergarten.</t>
        </is>
      </c>
    </row>
    <row r="3"/>
    <row r="4" ht="56" customHeight="1">
      <c r="A4" s="26" t="inlineStr">
        <is>
          <t>School</t>
        </is>
      </c>
      <c r="B4" s="26" t="inlineStr">
        <is>
          <t>Council area</t>
        </is>
      </c>
      <c r="C4" s="26" t="inlineStr">
        <is>
          <t>Enrolment 2019 (ACARA, August)</t>
        </is>
      </c>
      <c r="D4" s="26" t="inlineStr">
        <is>
          <t>Cap set for 2020</t>
        </is>
      </c>
      <c r="E4" s="26" t="inlineStr">
        <is>
          <t>Over its 2020 cap in 2019?</t>
        </is>
      </c>
      <c r="F4" s="26" t="inlineStr">
        <is>
          <t>Cap for 2021</t>
        </is>
      </c>
      <c r="G4" s="26" t="inlineStr">
        <is>
          <t>Cap raised for 2021?</t>
        </is>
      </c>
      <c r="H4" s="26" t="inlineStr">
        <is>
          <t>Enrolment 2021, as tabled with the 2021 caps</t>
        </is>
      </c>
      <c r="I4" s="26" t="inlineStr">
        <is>
          <t>Enrolment 2021 (ACARA, August)</t>
        </is>
      </c>
      <c r="J4" s="26" t="inlineStr">
        <is>
          <t>ACARA 2021 enrolment against the 2021 cap</t>
        </is>
      </c>
      <c r="L4" s="27" t="inlineStr">
        <is>
          <t>In the article</t>
        </is>
      </c>
    </row>
    <row r="5" ht="28" customHeight="1">
      <c r="A5" s="34" t="inlineStr">
        <is>
          <t>Lane Cove Public</t>
        </is>
      </c>
      <c r="B5" s="43" t="inlineStr">
        <is>
          <t>Lane Cove</t>
        </is>
      </c>
      <c r="C5" s="33">
        <f>'School totals'!B18</f>
        <v>867</v>
      </c>
      <c r="D5" s="32" t="n">
        <v>855</v>
      </c>
      <c r="E5" s="41" t="str">
        <f>IF(ISNUMBER(D5),IF(C5&gt;D5,"Yes","No"),"not listed")</f>
        <v>Yes</v>
      </c>
      <c r="F5" s="32" t="n">
        <v>855</v>
      </c>
      <c r="G5" s="41" t="str">
        <f>IF(ISNUMBER(D5),IF(F5&gt;D5,"Yes","No"),"")</f>
        <v>No</v>
      </c>
      <c r="H5" s="32" t="n">
        <v>810</v>
      </c>
      <c r="I5" s="33">
        <f>'School totals'!B20</f>
        <v>801</v>
      </c>
      <c r="J5" s="38">
        <f>I5-F5</f>
        <v>-54</v>
      </c>
      <c r="L5" s="30" t="inlineStr">
        <is>
          <t>“From 2019 the NSW Department of Education set enrolment caps for public schools, and a school at or above its cap could take children from outside its catchment only in exceptional circumstances.”</t>
        </is>
      </c>
    </row>
    <row r="6" ht="28" customHeight="1">
      <c r="A6" s="34" t="inlineStr">
        <is>
          <t>Lane Cove West Public</t>
        </is>
      </c>
      <c r="B6" s="43" t="inlineStr">
        <is>
          <t>Lane Cove</t>
        </is>
      </c>
      <c r="C6" s="33">
        <f>'School totals'!C18</f>
        <v>613</v>
      </c>
      <c r="D6" s="32" t="n">
        <v>439</v>
      </c>
      <c r="E6" s="41" t="str">
        <f>IF(ISNUMBER(D6),IF(C6&gt;D6,"Yes","No"),"not listed")</f>
        <v>Yes</v>
      </c>
      <c r="F6" s="32" t="n">
        <v>439</v>
      </c>
      <c r="G6" s="41" t="str">
        <f>IF(ISNUMBER(D6),IF(F6&gt;D6,"Yes","No"),"")</f>
        <v>No</v>
      </c>
      <c r="H6" s="32" t="n">
        <v>580</v>
      </c>
      <c r="I6" s="33">
        <f>'School totals'!C20</f>
        <v>569</v>
      </c>
      <c r="J6" s="38">
        <f>I6-F6</f>
        <v>130</v>
      </c>
    </row>
    <row r="7" ht="28" customHeight="1">
      <c r="A7" s="34" t="inlineStr">
        <is>
          <t>Greenwich Public</t>
        </is>
      </c>
      <c r="B7" s="43" t="inlineStr">
        <is>
          <t>Lane Cove</t>
        </is>
      </c>
      <c r="C7" s="33">
        <f>'School totals'!D18</f>
        <v>487</v>
      </c>
      <c r="D7" s="32" t="n">
        <v>416</v>
      </c>
      <c r="E7" s="41" t="str">
        <f>IF(ISNUMBER(D7),IF(C7&gt;D7,"Yes","No"),"not listed")</f>
        <v>Yes</v>
      </c>
      <c r="F7" s="32" t="n">
        <v>809</v>
      </c>
      <c r="G7" s="41" t="str">
        <f>IF(ISNUMBER(D7),IF(F7&gt;D7,"Yes","No"),"")</f>
        <v>Yes</v>
      </c>
      <c r="H7" s="32" t="n">
        <v>482</v>
      </c>
      <c r="I7" s="33">
        <f>'School totals'!D20</f>
        <v>478</v>
      </c>
      <c r="J7" s="38">
        <f>I7-F7</f>
        <v>-331</v>
      </c>
    </row>
    <row r="8" ht="28" customHeight="1">
      <c r="A8" s="34" t="inlineStr">
        <is>
          <t>Mowbray Public</t>
        </is>
      </c>
      <c r="B8" s="43" t="inlineStr">
        <is>
          <t>Willoughby</t>
        </is>
      </c>
      <c r="C8" s="33">
        <f>'School totals'!F18</f>
        <v>636</v>
      </c>
      <c r="D8" s="43" t="inlineStr">
        <is>
          <t>not listed</t>
        </is>
      </c>
      <c r="E8" s="41" t="str">
        <f>IF(ISNUMBER(D8),IF(C8&gt;D8,"Yes","No"),"not listed")</f>
        <v>not listed</v>
      </c>
      <c r="F8" s="32" t="n">
        <v>878</v>
      </c>
      <c r="G8" s="41">
        <f>IF(ISNUMBER(D8),IF(F8&gt;D8,"Yes","No"),"")</f>
        <v/>
      </c>
      <c r="H8" s="32" t="n">
        <v>669</v>
      </c>
      <c r="I8" s="33">
        <f>'School totals'!F20</f>
        <v>656</v>
      </c>
      <c r="J8" s="38">
        <f>I8-F8</f>
        <v>-222</v>
      </c>
    </row>
    <row r="9" ht="28" customHeight="1">
      <c r="A9" s="34" t="inlineStr">
        <is>
          <t>Chatswood Public</t>
        </is>
      </c>
      <c r="B9" s="43" t="inlineStr">
        <is>
          <t>Willoughby</t>
        </is>
      </c>
      <c r="C9" s="33">
        <f>'School totals'!G18</f>
        <v>1315</v>
      </c>
      <c r="D9" s="32" t="n">
        <v>740</v>
      </c>
      <c r="E9" s="41" t="str">
        <f>IF(ISNUMBER(D9),IF(C9&gt;D9,"Yes","No"),"not listed")</f>
        <v>Yes</v>
      </c>
      <c r="F9" s="32" t="n">
        <v>740</v>
      </c>
      <c r="G9" s="41" t="str">
        <f>IF(ISNUMBER(D9),IF(F9&gt;D9,"Yes","No"),"")</f>
        <v>No</v>
      </c>
      <c r="H9" s="32" t="n">
        <v>1219</v>
      </c>
      <c r="I9" s="33">
        <f>'School totals'!G20</f>
        <v>1216</v>
      </c>
      <c r="J9" s="38">
        <f>I9-F9</f>
        <v>476</v>
      </c>
      <c r="L9" s="30" t="inlineStr">
        <is>
          <t>“In 2019 all three public primaries in the LGA had more students than the caps set for 2020.”</t>
        </is>
      </c>
    </row>
    <row r="10" ht="28.5" customHeight="1">
      <c r="A10" s="34" t="inlineStr">
        <is>
          <t>Council-area public schools over their 2020 cap in 2019</t>
        </is>
      </c>
      <c r="E10" s="33">
        <f>COUNTIFS(B5:B9,"Lane Cove",E5:E9,"Yes")</f>
        <v>3</v>
      </c>
    </row>
    <row r="11"/>
    <row r="12" ht="41.25" customHeight="1">
      <c r="A12" s="34" t="inlineStr">
        <is>
          <t>ACARA August enrolments since the caps, against the cap set for 2020</t>
        </is>
      </c>
      <c r="L12" s="30" t="inlineStr">
        <is>
          <t>“But the caps do not line up with the falls: Lane Cove Public, below its cap every year since 2020, and Greenwich, whose cap was raised in 2021, each lost more kindergarten children a year than Lane Cove West, which was still over its cap in 2021.”</t>
        </is>
      </c>
    </row>
    <row r="13" ht="56" customHeight="1">
      <c r="A13" s="26" t="inlineStr">
        <is>
          <t>School</t>
        </is>
      </c>
      <c r="B13" s="48" t="n">
        <v>2020</v>
      </c>
      <c r="C13" s="48" t="n">
        <v>2021</v>
      </c>
      <c r="D13" s="48" t="n">
        <v>2022</v>
      </c>
      <c r="E13" s="48" t="n">
        <v>2023</v>
      </c>
      <c r="F13" s="48" t="n">
        <v>2024</v>
      </c>
      <c r="G13" s="48" t="n">
        <v>2025</v>
      </c>
      <c r="H13" s="26" t="inlineStr">
        <is>
          <t>Highest, 2020 to 2025</t>
        </is>
      </c>
      <c r="I13" s="26" t="inlineStr">
        <is>
          <t>Below the 2020 cap every year?</t>
        </is>
      </c>
    </row>
    <row r="14">
      <c r="A14" s="34" t="inlineStr">
        <is>
          <t>Lane Cove Public</t>
        </is>
      </c>
      <c r="B14" s="33">
        <f>'School totals'!B19</f>
        <v>826</v>
      </c>
      <c r="C14" s="33">
        <f>'School totals'!B20</f>
        <v>801</v>
      </c>
      <c r="D14" s="33">
        <f>'School totals'!B21</f>
        <v>769</v>
      </c>
      <c r="E14" s="33">
        <f>'School totals'!B22</f>
        <v>731</v>
      </c>
      <c r="F14" s="33">
        <f>'School totals'!B23</f>
        <v>734</v>
      </c>
      <c r="G14" s="33">
        <f>'School totals'!B24</f>
        <v>688</v>
      </c>
      <c r="H14" s="33">
        <f>MAX(B14:G14)</f>
        <v>826</v>
      </c>
      <c r="I14" s="41" t="str">
        <f>IF(H14&lt;D5,"Yes","No")</f>
        <v>Yes</v>
      </c>
    </row>
    <row r="15">
      <c r="A15" s="34" t="inlineStr">
        <is>
          <t>Lane Cove West Public</t>
        </is>
      </c>
      <c r="B15" s="33">
        <f>'School totals'!C19</f>
        <v>605</v>
      </c>
      <c r="C15" s="33">
        <f>'School totals'!C20</f>
        <v>569</v>
      </c>
      <c r="D15" s="33">
        <f>'School totals'!C21</f>
        <v>531</v>
      </c>
      <c r="E15" s="33">
        <f>'School totals'!C22</f>
        <v>514</v>
      </c>
      <c r="F15" s="33">
        <f>'School totals'!C23</f>
        <v>483</v>
      </c>
      <c r="G15" s="33">
        <f>'School totals'!C24</f>
        <v>474</v>
      </c>
      <c r="H15" s="33">
        <f>MAX(B15:G15)</f>
        <v>605</v>
      </c>
      <c r="I15" s="41" t="str">
        <f>IF(H15&lt;D6,"Yes","No")</f>
        <v>No</v>
      </c>
    </row>
    <row r="16">
      <c r="A16" s="34" t="inlineStr">
        <is>
          <t>Greenwich Public</t>
        </is>
      </c>
      <c r="B16" s="33">
        <f>'School totals'!D19</f>
        <v>466</v>
      </c>
      <c r="C16" s="33">
        <f>'School totals'!D20</f>
        <v>478</v>
      </c>
      <c r="D16" s="33">
        <f>'School totals'!D21</f>
        <v>470</v>
      </c>
      <c r="E16" s="33">
        <f>'School totals'!D22</f>
        <v>454</v>
      </c>
      <c r="F16" s="33">
        <f>'School totals'!D23</f>
        <v>428</v>
      </c>
      <c r="G16" s="33">
        <f>'School totals'!D24</f>
        <v>367</v>
      </c>
      <c r="H16" s="33">
        <f>MAX(B16:G16)</f>
        <v>478</v>
      </c>
      <c r="I16" s="41" t="str">
        <f>IF(H16&lt;D7,"Yes","No")</f>
        <v>No</v>
      </c>
      <c r="L16" s="27" t="inlineStr">
        <is>
          <t>How the figures are worked out</t>
        </is>
      </c>
    </row>
    <row r="17">
      <c r="L17" s="4" t="inlineStr">
        <is>
          <t>The policy: in 2019 the Department brought in a revised enrolment policy that set an enrolment cap for eligible schools; a school at or above its cap may consider taking 'out of area' students only under exceptional circumstances (Budget Estimates 2019-2020, supplementary questions).</t>
        </is>
      </c>
    </row>
    <row r="18" ht="28.5" customHeight="1">
      <c r="A18" s="34" t="inlineStr">
        <is>
          <t>Kindergarten at the three council-area public schools</t>
        </is>
      </c>
    </row>
    <row r="19" ht="56" customHeight="1">
      <c r="A19" s="26" t="inlineStr">
        <is>
          <t>School</t>
        </is>
      </c>
      <c r="B19" s="48" t="n">
        <v>2019</v>
      </c>
      <c r="C19" s="48" t="n">
        <v>2020</v>
      </c>
      <c r="D19" s="48" t="n">
        <v>2021</v>
      </c>
      <c r="E19" s="26" t="inlineStr">
        <is>
          <t>Yearly average, 2016 to 2019</t>
        </is>
      </c>
      <c r="F19" s="26" t="inlineStr">
        <is>
          <t>Yearly average, 2023 to 2025</t>
        </is>
      </c>
      <c r="G19" s="26" t="inlineStr">
        <is>
          <t>Change in the yearly average</t>
        </is>
      </c>
      <c r="H19" s="26" t="inlineStr">
        <is>
          <t>Lost more kindergarten children than Lane Cove West?</t>
        </is>
      </c>
    </row>
    <row r="20">
      <c r="A20" s="34" t="inlineStr">
        <is>
          <t>Lane Cove Public</t>
        </is>
      </c>
      <c r="B20" s="33">
        <f>'Kindergarten'!B18</f>
        <v>132</v>
      </c>
      <c r="C20" s="33">
        <f>'Kindergarten'!B19</f>
        <v>106</v>
      </c>
      <c r="D20" s="33">
        <f>'Kindergarten'!B20</f>
        <v>127</v>
      </c>
      <c r="E20" s="44">
        <f>'Kindergarten'!B39</f>
        <v>135.25</v>
      </c>
      <c r="F20" s="44">
        <f>'Kindergarten'!B40</f>
        <v>106</v>
      </c>
      <c r="G20" s="45">
        <f>F20-E20</f>
        <v>-29.25</v>
      </c>
      <c r="H20" s="41" t="str">
        <f>IF(G20&lt;G$21,"Yes","No")</f>
        <v>Yes</v>
      </c>
    </row>
    <row r="21">
      <c r="A21" s="34" t="inlineStr">
        <is>
          <t>Lane Cove West Public</t>
        </is>
      </c>
      <c r="B21" s="33">
        <f>'Kindergarten'!C18</f>
        <v>106</v>
      </c>
      <c r="C21" s="33">
        <f>'Kindergarten'!C19</f>
        <v>95</v>
      </c>
      <c r="D21" s="33">
        <f>'Kindergarten'!C20</f>
        <v>95</v>
      </c>
      <c r="E21" s="44">
        <f>'Kindergarten'!C39</f>
        <v>90.25</v>
      </c>
      <c r="F21" s="44">
        <f>'Kindergarten'!C40</f>
        <v>67.3333333333333</v>
      </c>
      <c r="G21" s="45">
        <f>F21-E21</f>
        <v>-22.9166666666667</v>
      </c>
      <c r="H21" s="43" t="n"/>
    </row>
    <row r="22">
      <c r="A22" s="34" t="inlineStr">
        <is>
          <t>Greenwich Public</t>
        </is>
      </c>
      <c r="B22" s="33">
        <f>'Kindergarten'!D18</f>
        <v>85</v>
      </c>
      <c r="C22" s="33">
        <f>'Kindergarten'!D19</f>
        <v>71</v>
      </c>
      <c r="D22" s="33">
        <f>'Kindergarten'!D20</f>
        <v>77</v>
      </c>
      <c r="E22" s="44">
        <f>'Kindergarten'!D39</f>
        <v>82.25</v>
      </c>
      <c r="F22" s="44">
        <f>'Kindergarten'!D40</f>
        <v>51</v>
      </c>
      <c r="G22" s="45">
        <f>F22-E22</f>
        <v>-31.25</v>
      </c>
      <c r="H22" s="41" t="str">
        <f>IF(G22&lt;G$21,"Yes","No")</f>
        <v>Yes</v>
      </c>
      <c r="L22" s="4" t="inlineStr">
        <is>
          <t>The caps set for 2020 are Attachment B to question 355 of Budget Estimates 2019-2020, which lists Lane Cove Public, Lane Cove West, Greenwich and Chatswood but not Mowbray.</t>
        </is>
      </c>
    </row>
    <row r="23">
      <c r="A23" s="34" t="inlineStr">
        <is>
          <t>The three schools together</t>
        </is>
      </c>
      <c r="B23" s="33">
        <f>SUM(B20:B22)</f>
        <v>323</v>
      </c>
      <c r="C23" s="33">
        <f>SUM(C20:C22)</f>
        <v>272</v>
      </c>
      <c r="D23" s="33">
        <f>SUM(D20:D22)</f>
        <v>299</v>
      </c>
    </row>
    <row r="24"/>
    <row r="25">
      <c r="L25" s="4" t="inlineStr">
        <is>
          <t>The 2021 caps, and the 2021 enrolments tabled with them, are Tab A to question 200 of Budget Estimates 2020-2021 (answers to supplementary questions, Minister Mitchell). That is the source of Chatswood Public's 2021 enrolment against its cap. The tabled 2021 enrolments are not ACARA's August figures: Mowbray's tabled 669 compares with an August headcount of 656 (NSW Department of Education).</t>
        </is>
      </c>
    </row>
    <row r="26"/>
    <row r="27"/>
    <row r="28"/>
    <row r="29"/>
    <row r="30"/>
    <row r="31">
      <c r="L31" s="3" t="inlineStr">
        <is>
          <t>Nothing we could find published says how many children from outside their areas these schools took before the caps.</t>
        </is>
      </c>
    </row>
    <row r="32"/>
    <row r="33"/>
    <row r="34">
      <c r="L34" s="4" t="inlineStr">
        <is>
          <t>From 22 January 2026 the Department's Enrolment in Kindergarten to Year 12 procedures call the cap 'enrolment availability' (the procedures' version history).</t>
        </is>
      </c>
    </row>
    <row r="35"/>
    <row r="36"/>
    <row r="37">
      <c r="L37" s="3" t="inlineStr">
        <is>
          <t>From an earlier draft of the article, now only in this workbook: "In January 2026 the Department replaced them with what it calls enrolment availability."</t>
        </is>
      </c>
    </row>
    <row r="38"/>
    <row r="39"/>
    <row r="40">
      <c r="L40" s="27" t="inlineStr">
        <is>
          <t>Sources</t>
        </is>
      </c>
    </row>
    <row r="41">
      <c r="L41" s="42" t="inlineStr">
        <is>
          <t>NSW Parliament, Budget Estimates 2019-2020, Education: supplementary questions and answers (the 2019 enrolment cap policy)</t>
        </is>
      </c>
    </row>
    <row r="42">
      <c r="L42" s="42" t="inlineStr">
        <is>
          <t>NSW Parliament, Budget Estimates 2019-2020: Attachment B to question 355 (enrolment caps set for 2020)</t>
        </is>
      </c>
    </row>
    <row r="43">
      <c r="L43" s="42" t="inlineStr">
        <is>
          <t>NSW Parliament, Budget Estimates 2020-2021: answers to supplementary questions, Minister Mitchell (question 200 and its Tab A: 2021 enrolments and enrolment caps)</t>
        </is>
      </c>
    </row>
    <row r="44">
      <c r="L44" s="42" t="inlineStr">
        <is>
          <t>ACARA Data Access Program: Enrolments by Grade 2008-2025 and School Locations 2025</t>
        </is>
      </c>
    </row>
    <row r="45">
      <c r="L45" s="42" t="inlineStr">
        <is>
          <t>NSW Department of Education: NSW government school enrolments by head count, 2004-2025</t>
        </is>
      </c>
    </row>
    <row r="46">
      <c r="L46" s="42" t="inlineStr">
        <is>
          <t>NSW Department of Education: Enrolment in Kindergarten to Year 12 procedures (version history: 'enrolment cap' changed to 'enrolment availability', 22 January 2026)</t>
        </is>
      </c>
    </row>
  </sheetData>
  <mergeCells count="9">
    <mergeCell ref="L12:L14"/>
    <mergeCell ref="L22:L23"/>
    <mergeCell ref="L9:L10"/>
    <mergeCell ref="L34:L35"/>
    <mergeCell ref="L17:L20"/>
    <mergeCell ref="L25:L29"/>
    <mergeCell ref="L37:L38"/>
    <mergeCell ref="L5:L7"/>
    <mergeCell ref="L31:L32"/>
  </mergeCells>
  <hyperlinks>
    <hyperlink xmlns:r="http://schemas.openxmlformats.org/officeDocument/2006/relationships" ref="A2" r:id="rId1"/>
    <hyperlink xmlns:r="http://schemas.openxmlformats.org/officeDocument/2006/relationships" ref="L17" r:id="rId2"/>
    <hyperlink xmlns:r="http://schemas.openxmlformats.org/officeDocument/2006/relationships" ref="L22" r:id="rId3"/>
    <hyperlink xmlns:r="http://schemas.openxmlformats.org/officeDocument/2006/relationships" ref="L25" r:id="rId4"/>
    <hyperlink xmlns:r="http://schemas.openxmlformats.org/officeDocument/2006/relationships" ref="L34" r:id="rId5"/>
    <hyperlink xmlns:r="http://schemas.openxmlformats.org/officeDocument/2006/relationships" ref="L41" r:id="rId6"/>
    <hyperlink xmlns:r="http://schemas.openxmlformats.org/officeDocument/2006/relationships" ref="L42" r:id="rId7"/>
    <hyperlink xmlns:r="http://schemas.openxmlformats.org/officeDocument/2006/relationships" ref="L43" r:id="rId8"/>
    <hyperlink xmlns:r="http://schemas.openxmlformats.org/officeDocument/2006/relationships" ref="L44" r:id="rId9"/>
    <hyperlink xmlns:r="http://schemas.openxmlformats.org/officeDocument/2006/relationships" ref="L45" r:id="rId10"/>
    <hyperlink xmlns:r="http://schemas.openxmlformats.org/officeDocument/2006/relationships" ref="L46" r:id="rId11"/>
  </hyperlinks>
  <printOptions gridLines="0"/>
  <pageMargins left="0.75" right="0.75" top="1" bottom="1" header="0.5" footer="0.5"/>
  <pageSetup orientation="landscape" paperSize="9" fitToHeight="0" fitToWidth="1"/>
</worksheet>
</file>

<file path=xl/worksheets/sheet20.xml><?xml version="1.0" encoding="utf-8"?>
<worksheet xmlns="http://schemas.openxmlformats.org/spreadsheetml/2006/main">
  <sheetPr>
    <outlinePr summaryBelow="1" summaryRight="1"/>
    <pageSetUpPr fitToPage="1"/>
  </sheetPr>
  <dimension ref="A1:J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6" customWidth="1" min="3" max="3"/>
    <col width="16" customWidth="1" min="4" max="4"/>
    <col width="12" customWidth="1" min="5" max="5"/>
    <col width="12" customWidth="1" min="6" max="6"/>
    <col width="12" customWidth="1" min="7" max="7"/>
    <col width="14" customWidth="1" min="8" max="8"/>
    <col width="3" customWidth="1" min="9" max="9"/>
    <col width="95" customWidth="1" min="10" max="10"/>
  </cols>
  <sheetData>
    <row r="1">
      <c r="A1" s="7" t="inlineStr">
        <is>
          <t>Changes to public school catchments around Lane Cove since 2017</t>
        </is>
      </c>
    </row>
    <row r="2">
      <c r="A2" s="25" t="inlineStr">
        <is>
          <t>From the Department of Education's catchment maps, every copy from June 2017 to October 2026 plus the future layer for 2027. People and dwellings are 2021 Census counts (our working on the ABS mesh block counts).</t>
        </is>
      </c>
    </row>
    <row r="3"/>
    <row r="4" ht="56" customHeight="1">
      <c r="A4" s="26" t="inlineStr">
        <is>
          <t>Dated in the map</t>
        </is>
      </c>
      <c r="B4" s="26" t="inlineStr">
        <is>
          <t>First intake on the new map</t>
        </is>
      </c>
      <c r="C4" s="26" t="inlineStr">
        <is>
          <t>From</t>
        </is>
      </c>
      <c r="D4" s="26" t="inlineStr">
        <is>
          <t>To</t>
        </is>
      </c>
      <c r="E4" s="26" t="inlineStr">
        <is>
          <t>Area moved (km2)</t>
        </is>
      </c>
      <c r="F4" s="26" t="inlineStr">
        <is>
          <t>People (2021 Census)</t>
        </is>
      </c>
      <c r="G4" s="26" t="inlineStr">
        <is>
          <t>Dwellings (2021 Census)</t>
        </is>
      </c>
      <c r="H4" s="26" t="inlineStr">
        <is>
          <t>Of those people, in Lane Cove council area</t>
        </is>
      </c>
      <c r="J4" s="27" t="inlineStr">
        <is>
          <t>In the article</t>
        </is>
      </c>
    </row>
    <row r="5" ht="28" customHeight="1">
      <c r="A5" s="34" t="inlineStr">
        <is>
          <t>19 December 2021</t>
        </is>
      </c>
      <c r="B5" s="49" t="n">
        <v>2022</v>
      </c>
      <c r="C5" s="10" t="inlineStr">
        <is>
          <t>Chatswood Public</t>
        </is>
      </c>
      <c r="D5" s="10" t="inlineStr">
        <is>
          <t>Mowbray Public</t>
        </is>
      </c>
      <c r="E5" s="57" t="n">
        <v>0.5693</v>
      </c>
      <c r="F5" s="32" t="n">
        <v>1774</v>
      </c>
      <c r="G5" s="32" t="n">
        <v>705</v>
      </c>
      <c r="H5" s="32" t="n">
        <v>0</v>
      </c>
      <c r="J5" s="30" t="inlineStr">
        <is>
          <t>“In December 2021 the Department of Education's catchment map moved part of Chatswood Public's catchment into Mowbray's.”</t>
        </is>
      </c>
    </row>
    <row r="6" ht="28" customHeight="1">
      <c r="A6" s="34" t="inlineStr">
        <is>
          <t>19 December 2021</t>
        </is>
      </c>
      <c r="B6" s="49" t="n">
        <v>2022</v>
      </c>
      <c r="C6" s="10" t="inlineStr">
        <is>
          <t>Chatswood Public</t>
        </is>
      </c>
      <c r="D6" s="10" t="inlineStr">
        <is>
          <t>Roseville Public</t>
        </is>
      </c>
      <c r="E6" s="57" t="n">
        <v>0.2848</v>
      </c>
      <c r="F6" s="32" t="n">
        <v>1032</v>
      </c>
      <c r="G6" s="32" t="n">
        <v>376</v>
      </c>
      <c r="H6" s="32" t="n">
        <v>0</v>
      </c>
    </row>
    <row r="7" ht="28" customHeight="1">
      <c r="A7" s="34" t="inlineStr">
        <is>
          <t>19 December 2021</t>
        </is>
      </c>
      <c r="B7" s="49" t="n">
        <v>2022</v>
      </c>
      <c r="C7" s="10" t="inlineStr">
        <is>
          <t>Chatswood Public</t>
        </is>
      </c>
      <c r="D7" s="10" t="inlineStr">
        <is>
          <t>Lindfield Learning Village</t>
        </is>
      </c>
      <c r="E7" s="57" t="n">
        <v>1.6201</v>
      </c>
      <c r="F7" s="32" t="n">
        <v>2925</v>
      </c>
      <c r="G7" s="32" t="n">
        <v>1046</v>
      </c>
      <c r="H7" s="32" t="n">
        <v>0</v>
      </c>
    </row>
    <row r="8" ht="28" customHeight="1">
      <c r="A8" s="34" t="inlineStr">
        <is>
          <t>19 December 2021</t>
        </is>
      </c>
      <c r="B8" s="49" t="n">
        <v>2022</v>
      </c>
      <c r="C8" s="10" t="inlineStr">
        <is>
          <t>Mowbray Public</t>
        </is>
      </c>
      <c r="D8" s="10" t="inlineStr">
        <is>
          <t>Lane Cove Public</t>
        </is>
      </c>
      <c r="E8" s="57" t="n">
        <v>0.0129</v>
      </c>
      <c r="F8" s="32" t="n">
        <v>0</v>
      </c>
      <c r="G8" s="32" t="n">
        <v>0</v>
      </c>
      <c r="H8" s="32" t="n">
        <v>0</v>
      </c>
      <c r="J8" s="27" t="inlineStr">
        <is>
          <t>How the figures are worked out</t>
        </is>
      </c>
    </row>
    <row r="9" ht="28" customHeight="1">
      <c r="A9" s="34" t="inlineStr">
        <is>
          <t>24 December 2024</t>
        </is>
      </c>
      <c r="B9" s="49" t="n">
        <v>2025</v>
      </c>
      <c r="C9" s="10" t="inlineStr">
        <is>
          <t>Anzac Park Public</t>
        </is>
      </c>
      <c r="D9" s="10" t="inlineStr">
        <is>
          <t>Greenwich Public</t>
        </is>
      </c>
      <c r="E9" s="57" t="n">
        <v>0.0116</v>
      </c>
      <c r="F9" s="32" t="n">
        <v>41</v>
      </c>
      <c r="G9" s="32" t="n">
        <v>48</v>
      </c>
      <c r="H9" s="32" t="n">
        <v>41</v>
      </c>
      <c r="J9" s="4" t="inlineStr">
        <is>
          <t>Each change is found by comparing successive copies of the Department of Education's catchment map (the copy on Data.NSW now, and earlier archived copies of the same file). The date is the one the map itself gives the change. People and dwellings are the 2021 Census mesh block counts inside the area that moved (our working).</t>
        </is>
      </c>
    </row>
    <row r="10" ht="28.5" customHeight="1">
      <c r="A10" s="34" t="inlineStr">
        <is>
          <t>28 January 2026 (future layer)</t>
        </is>
      </c>
      <c r="B10" s="49" t="n">
        <v>2027</v>
      </c>
      <c r="C10" s="10" t="inlineStr">
        <is>
          <t>Truscott Street Public</t>
        </is>
      </c>
      <c r="D10" s="10" t="inlineStr">
        <is>
          <t>Mowbray Public</t>
        </is>
      </c>
      <c r="E10" s="57" t="n">
        <v>0.1077</v>
      </c>
      <c r="F10" s="32" t="n">
        <v>704</v>
      </c>
      <c r="G10" s="32" t="n">
        <v>327</v>
      </c>
      <c r="H10" s="32" t="n">
        <v>704</v>
      </c>
    </row>
    <row r="11" ht="28.5" customHeight="1">
      <c r="A11" s="34" t="inlineStr">
        <is>
          <t>28 January 2026 (future layer)</t>
        </is>
      </c>
      <c r="B11" s="49" t="n">
        <v>2027</v>
      </c>
      <c r="C11" s="10" t="inlineStr">
        <is>
          <t>Truscott Street Public</t>
        </is>
      </c>
      <c r="D11" s="10" t="inlineStr">
        <is>
          <t>Lane Cove West Public</t>
        </is>
      </c>
      <c r="E11" s="57" t="n">
        <v>0.7816</v>
      </c>
      <c r="F11" s="32" t="n">
        <v>3</v>
      </c>
      <c r="G11" s="32" t="n">
        <v>0</v>
      </c>
      <c r="H11" s="32" t="n">
        <v>3</v>
      </c>
    </row>
    <row r="12"/>
    <row r="13">
      <c r="A13" s="34" t="inlineStr">
        <is>
          <t>Chatswood Public at the time</t>
        </is>
      </c>
    </row>
    <row r="14">
      <c r="A14" s="26" t="inlineStr">
        <is>
          <t>Measure</t>
        </is>
      </c>
      <c r="B14" s="26" t="inlineStr">
        <is>
          <t>Figure</t>
        </is>
      </c>
      <c r="C14" s="26" t="inlineStr">
        <is>
          <t>Where it is in this workbook</t>
        </is>
      </c>
      <c r="J14" s="3" t="inlineStr">
        <is>
          <t>December 2021: Chatswood Public's catchment was split between Mowbray Public, Roseville Public and Lindfield Learning Village. Inside Lane Cove council area only the edges between Lane Cove Public and Mowbray were redrawn, across two street points with no house number and no residents, so no homes in the council area moved (the 'All' column below does not change).</t>
        </is>
      </c>
    </row>
    <row r="15" ht="28.5" customHeight="1">
      <c r="A15" s="34" t="inlineStr">
        <is>
          <t>2021 enrolment, as tabled with the 2021 caps</t>
        </is>
      </c>
      <c r="B15" s="33">
        <f>'Enrolment caps'!H9</f>
        <v>1219</v>
      </c>
      <c r="C15" s="43" t="inlineStr">
        <is>
          <t>Enrolment caps sheet</t>
        </is>
      </c>
    </row>
    <row r="16" ht="28" customHeight="1">
      <c r="A16" s="34" t="inlineStr">
        <is>
          <t>2021 enrolment cap</t>
        </is>
      </c>
      <c r="B16" s="33">
        <f>'Enrolment caps'!F9</f>
        <v>740</v>
      </c>
      <c r="C16" s="43" t="inlineStr">
        <is>
          <t>Enrolment caps sheet</t>
        </is>
      </c>
    </row>
    <row r="17" ht="28" customHeight="1">
      <c r="A17" s="34" t="inlineStr">
        <is>
          <t>Kindergarten, 2020</t>
        </is>
      </c>
      <c r="B17" s="33">
        <f>'Kindergarten'!G19</f>
        <v>221</v>
      </c>
      <c r="C17" s="43" t="inlineStr">
        <is>
          <t>Kindergarten sheet</t>
        </is>
      </c>
    </row>
    <row r="18" ht="28" customHeight="1">
      <c r="A18" s="34" t="inlineStr">
        <is>
          <t>Kindergarten, 2021</t>
        </is>
      </c>
      <c r="B18" s="33">
        <f>'Kindergarten'!G20</f>
        <v>121</v>
      </c>
      <c r="C18" s="43" t="inlineStr">
        <is>
          <t>Kindergarten sheet</t>
        </is>
      </c>
    </row>
    <row r="19">
      <c r="J19" s="3" t="inlineStr">
        <is>
          <t>December 2024: a small area of St Leonards inside the council area moved from Anzac Park Public to Greenwich Public, first seen in the April 2025 copy.</t>
        </is>
      </c>
    </row>
    <row r="20">
      <c r="A20" s="34" t="inlineStr">
        <is>
          <t>People in Lane Cove council area by public school catchment, every copy of the map (2021 Census counts throughout)</t>
        </is>
      </c>
      <c r="B20" s="46" t="n"/>
      <c r="C20" s="46" t="n"/>
      <c r="D20" s="46" t="n"/>
      <c r="E20" s="46" t="n"/>
      <c r="F20" s="46" t="n"/>
      <c r="G20" s="46" t="n"/>
      <c r="H20" s="47" t="n"/>
    </row>
    <row r="21" ht="56" customHeight="1">
      <c r="A21" s="26" t="inlineStr">
        <is>
          <t>Map copy</t>
        </is>
      </c>
      <c r="B21" s="26" t="inlineStr">
        <is>
          <t>Lane Cove Public School</t>
        </is>
      </c>
      <c r="C21" s="26" t="inlineStr">
        <is>
          <t>Lane Cove West Public School</t>
        </is>
      </c>
      <c r="D21" s="26" t="inlineStr">
        <is>
          <t>Greenwich Public School</t>
        </is>
      </c>
      <c r="E21" s="26" t="inlineStr">
        <is>
          <t>Mowbray Public School</t>
        </is>
      </c>
      <c r="F21" s="26" t="inlineStr">
        <is>
          <t>Anzac Park Public School</t>
        </is>
      </c>
      <c r="G21" s="26" t="inlineStr">
        <is>
          <t>Truscott Street Public School</t>
        </is>
      </c>
      <c r="H21" s="26" t="inlineStr">
        <is>
          <t>All</t>
        </is>
      </c>
    </row>
    <row r="22">
      <c r="A22" s="34" t="inlineStr">
        <is>
          <t>21 June 2017</t>
        </is>
      </c>
      <c r="B22" s="32" t="n">
        <v>16137</v>
      </c>
      <c r="C22" s="32" t="n">
        <v>6770</v>
      </c>
      <c r="D22" s="32" t="n">
        <v>6713</v>
      </c>
      <c r="E22" s="32" t="n">
        <v>7748</v>
      </c>
      <c r="F22" s="32" t="n">
        <v>1403</v>
      </c>
      <c r="G22" s="32" t="n">
        <v>707</v>
      </c>
      <c r="H22" s="33">
        <f>SUM(B22:G22)</f>
        <v>39478</v>
      </c>
      <c r="J22" s="4" t="inlineStr">
        <is>
          <t>2027: the future layer moves the apartments at 150 Epping Road, Lane Cove West, from Truscott Street Public in North Ryde to Mowbray, and Truscott Street's mostly commercial area around Mars, Sirius and Orion Roads to Lane Cove West. Those homes have been zoned to Truscott Street, outside the council area, on every copy of the map since June 2017 (the Truscott Street column below). School Infrastructure NSW's page for Mowbray says its intake area is changing for new enrolments from Day 1, Term 1, 2027.</t>
        </is>
      </c>
    </row>
    <row r="23">
      <c r="A23" s="34" t="inlineStr">
        <is>
          <t>9 June 2018</t>
        </is>
      </c>
      <c r="B23" s="32" t="n">
        <v>16137</v>
      </c>
      <c r="C23" s="32" t="n">
        <v>6770</v>
      </c>
      <c r="D23" s="32" t="n">
        <v>6713</v>
      </c>
      <c r="E23" s="32" t="n">
        <v>7748</v>
      </c>
      <c r="F23" s="32" t="n">
        <v>1403</v>
      </c>
      <c r="G23" s="32" t="n">
        <v>707</v>
      </c>
      <c r="H23" s="33">
        <f>SUM(B23:G23)</f>
        <v>39478</v>
      </c>
    </row>
    <row r="24">
      <c r="A24" s="34" t="inlineStr">
        <is>
          <t>13 March 2019</t>
        </is>
      </c>
      <c r="B24" s="32" t="n">
        <v>16137</v>
      </c>
      <c r="C24" s="32" t="n">
        <v>6770</v>
      </c>
      <c r="D24" s="32" t="n">
        <v>6713</v>
      </c>
      <c r="E24" s="32" t="n">
        <v>7748</v>
      </c>
      <c r="F24" s="32" t="n">
        <v>1403</v>
      </c>
      <c r="G24" s="32" t="n">
        <v>707</v>
      </c>
      <c r="H24" s="33">
        <f>SUM(B24:G24)</f>
        <v>39478</v>
      </c>
    </row>
    <row r="25">
      <c r="A25" s="34" t="inlineStr">
        <is>
          <t>31 July 2020</t>
        </is>
      </c>
      <c r="B25" s="32" t="n">
        <v>16137</v>
      </c>
      <c r="C25" s="32" t="n">
        <v>6770</v>
      </c>
      <c r="D25" s="32" t="n">
        <v>6713</v>
      </c>
      <c r="E25" s="32" t="n">
        <v>7748</v>
      </c>
      <c r="F25" s="32" t="n">
        <v>1403</v>
      </c>
      <c r="G25" s="32" t="n">
        <v>707</v>
      </c>
      <c r="H25" s="33">
        <f>SUM(B25:G25)</f>
        <v>39478</v>
      </c>
    </row>
    <row r="26">
      <c r="A26" s="34" t="inlineStr">
        <is>
          <t>22 March 2021</t>
        </is>
      </c>
      <c r="B26" s="32" t="n">
        <v>16137</v>
      </c>
      <c r="C26" s="32" t="n">
        <v>6770</v>
      </c>
      <c r="D26" s="32" t="n">
        <v>6713</v>
      </c>
      <c r="E26" s="32" t="n">
        <v>7748</v>
      </c>
      <c r="F26" s="32" t="n">
        <v>1403</v>
      </c>
      <c r="G26" s="32" t="n">
        <v>707</v>
      </c>
      <c r="H26" s="33">
        <f>SUM(B26:G26)</f>
        <v>39478</v>
      </c>
    </row>
    <row r="27">
      <c r="A27" s="34" t="inlineStr">
        <is>
          <t>12 July 2021</t>
        </is>
      </c>
      <c r="B27" s="32" t="n">
        <v>16137</v>
      </c>
      <c r="C27" s="32" t="n">
        <v>6770</v>
      </c>
      <c r="D27" s="32" t="n">
        <v>6713</v>
      </c>
      <c r="E27" s="32" t="n">
        <v>7748</v>
      </c>
      <c r="F27" s="32" t="n">
        <v>1403</v>
      </c>
      <c r="G27" s="32" t="n">
        <v>707</v>
      </c>
      <c r="H27" s="33">
        <f>SUM(B27:G27)</f>
        <v>39478</v>
      </c>
    </row>
    <row r="28">
      <c r="A28" s="34" t="inlineStr">
        <is>
          <t>4 November 2021</t>
        </is>
      </c>
      <c r="B28" s="32" t="n">
        <v>16137</v>
      </c>
      <c r="C28" s="32" t="n">
        <v>6770</v>
      </c>
      <c r="D28" s="32" t="n">
        <v>6713</v>
      </c>
      <c r="E28" s="32" t="n">
        <v>7748</v>
      </c>
      <c r="F28" s="32" t="n">
        <v>1403</v>
      </c>
      <c r="G28" s="32" t="n">
        <v>707</v>
      </c>
      <c r="H28" s="33">
        <f>SUM(B28:G28)</f>
        <v>39478</v>
      </c>
    </row>
    <row r="29">
      <c r="A29" s="34" t="inlineStr">
        <is>
          <t>10 March 2022</t>
        </is>
      </c>
      <c r="B29" s="32" t="n">
        <v>16137</v>
      </c>
      <c r="C29" s="32" t="n">
        <v>6770</v>
      </c>
      <c r="D29" s="32" t="n">
        <v>6713</v>
      </c>
      <c r="E29" s="32" t="n">
        <v>7748</v>
      </c>
      <c r="F29" s="32" t="n">
        <v>1403</v>
      </c>
      <c r="G29" s="32" t="n">
        <v>707</v>
      </c>
      <c r="H29" s="33">
        <f>SUM(B29:G29)</f>
        <v>39478</v>
      </c>
      <c r="J29" s="3" t="inlineStr">
        <is>
          <t>No official explanation of the December 2021 change was found; it is documented only in the map. Copies before 2020 carry no note of the intake year they applied to, so those years are inferred from the date each copy was captured.</t>
        </is>
      </c>
    </row>
    <row r="30">
      <c r="A30" s="34" t="inlineStr">
        <is>
          <t>25 October 2022</t>
        </is>
      </c>
      <c r="B30" s="32" t="n">
        <v>16137</v>
      </c>
      <c r="C30" s="32" t="n">
        <v>6770</v>
      </c>
      <c r="D30" s="32" t="n">
        <v>6713</v>
      </c>
      <c r="E30" s="32" t="n">
        <v>7748</v>
      </c>
      <c r="F30" s="32" t="n">
        <v>1403</v>
      </c>
      <c r="G30" s="32" t="n">
        <v>707</v>
      </c>
      <c r="H30" s="33">
        <f>SUM(B30:G30)</f>
        <v>39478</v>
      </c>
    </row>
    <row r="31">
      <c r="A31" s="34" t="inlineStr">
        <is>
          <t>15 March 2023</t>
        </is>
      </c>
      <c r="B31" s="32" t="n">
        <v>16137</v>
      </c>
      <c r="C31" s="32" t="n">
        <v>6770</v>
      </c>
      <c r="D31" s="32" t="n">
        <v>6713</v>
      </c>
      <c r="E31" s="32" t="n">
        <v>7748</v>
      </c>
      <c r="F31" s="32" t="n">
        <v>1403</v>
      </c>
      <c r="G31" s="32" t="n">
        <v>707</v>
      </c>
      <c r="H31" s="33">
        <f>SUM(B31:G31)</f>
        <v>39478</v>
      </c>
    </row>
    <row r="32">
      <c r="A32" s="34" t="inlineStr">
        <is>
          <t>30 October 2023</t>
        </is>
      </c>
      <c r="B32" s="32" t="n">
        <v>16137</v>
      </c>
      <c r="C32" s="32" t="n">
        <v>6770</v>
      </c>
      <c r="D32" s="32" t="n">
        <v>6713</v>
      </c>
      <c r="E32" s="32" t="n">
        <v>7748</v>
      </c>
      <c r="F32" s="32" t="n">
        <v>1403</v>
      </c>
      <c r="G32" s="32" t="n">
        <v>707</v>
      </c>
      <c r="H32" s="33">
        <f>SUM(B32:G32)</f>
        <v>39478</v>
      </c>
    </row>
    <row r="33">
      <c r="A33" s="34" t="inlineStr">
        <is>
          <t>19 March 2024</t>
        </is>
      </c>
      <c r="B33" s="32" t="n">
        <v>16137</v>
      </c>
      <c r="C33" s="32" t="n">
        <v>6770</v>
      </c>
      <c r="D33" s="32" t="n">
        <v>6713</v>
      </c>
      <c r="E33" s="32" t="n">
        <v>7748</v>
      </c>
      <c r="F33" s="32" t="n">
        <v>1403</v>
      </c>
      <c r="G33" s="32" t="n">
        <v>707</v>
      </c>
      <c r="H33" s="33">
        <f>SUM(B33:G33)</f>
        <v>39478</v>
      </c>
      <c r="J33" s="3" t="inlineStr">
        <is>
          <t>From an earlier draft of the article, now only in this workbook: "That change moved no homes in the Lane Cove council area."</t>
        </is>
      </c>
    </row>
    <row r="34">
      <c r="A34" s="34" t="inlineStr">
        <is>
          <t>20 October 2024</t>
        </is>
      </c>
      <c r="B34" s="32" t="n">
        <v>16137</v>
      </c>
      <c r="C34" s="32" t="n">
        <v>6770</v>
      </c>
      <c r="D34" s="32" t="n">
        <v>6713</v>
      </c>
      <c r="E34" s="32" t="n">
        <v>7748</v>
      </c>
      <c r="F34" s="32" t="n">
        <v>1403</v>
      </c>
      <c r="G34" s="32" t="n">
        <v>707</v>
      </c>
      <c r="H34" s="33">
        <f>SUM(B34:G34)</f>
        <v>39478</v>
      </c>
    </row>
    <row r="35">
      <c r="A35" s="34" t="inlineStr">
        <is>
          <t>18 April 2025</t>
        </is>
      </c>
      <c r="B35" s="32" t="n">
        <v>16137</v>
      </c>
      <c r="C35" s="32" t="n">
        <v>6770</v>
      </c>
      <c r="D35" s="32" t="n">
        <v>6754</v>
      </c>
      <c r="E35" s="32" t="n">
        <v>7748</v>
      </c>
      <c r="F35" s="32" t="n">
        <v>1362</v>
      </c>
      <c r="G35" s="32" t="n">
        <v>707</v>
      </c>
      <c r="H35" s="33">
        <f>SUM(B35:G35)</f>
        <v>39478</v>
      </c>
    </row>
    <row r="36">
      <c r="A36" s="34" t="inlineStr">
        <is>
          <t>27 November 2025</t>
        </is>
      </c>
      <c r="B36" s="32" t="n">
        <v>16137</v>
      </c>
      <c r="C36" s="32" t="n">
        <v>6770</v>
      </c>
      <c r="D36" s="32" t="n">
        <v>6754</v>
      </c>
      <c r="E36" s="32" t="n">
        <v>7748</v>
      </c>
      <c r="F36" s="32" t="n">
        <v>1362</v>
      </c>
      <c r="G36" s="32" t="n">
        <v>707</v>
      </c>
      <c r="H36" s="33">
        <f>SUM(B36:G36)</f>
        <v>39478</v>
      </c>
      <c r="J36" s="3" t="inlineStr">
        <is>
          <t>From an earlier draft of the article, now only in this workbook: "From the start of the 2027 school year, the Department's new intake areas move the apartments at 150 Epping Road, Lane Cove West, from Truscott Street Public in North Ryde to Mowbray."</t>
        </is>
      </c>
    </row>
    <row r="37">
      <c r="A37" s="34" t="inlineStr">
        <is>
          <t>3 February 2026</t>
        </is>
      </c>
      <c r="B37" s="32" t="n">
        <v>16137</v>
      </c>
      <c r="C37" s="32" t="n">
        <v>6770</v>
      </c>
      <c r="D37" s="32" t="n">
        <v>6754</v>
      </c>
      <c r="E37" s="32" t="n">
        <v>7748</v>
      </c>
      <c r="F37" s="32" t="n">
        <v>1362</v>
      </c>
      <c r="G37" s="32" t="n">
        <v>707</v>
      </c>
      <c r="H37" s="33">
        <f>SUM(B37:G37)</f>
        <v>39478</v>
      </c>
    </row>
    <row r="38">
      <c r="A38" s="34" t="inlineStr">
        <is>
          <t>14 September 2026</t>
        </is>
      </c>
      <c r="B38" s="32" t="n">
        <v>16137</v>
      </c>
      <c r="C38" s="32" t="n">
        <v>6770</v>
      </c>
      <c r="D38" s="32" t="n">
        <v>6754</v>
      </c>
      <c r="E38" s="32" t="n">
        <v>7748</v>
      </c>
      <c r="F38" s="32" t="n">
        <v>1362</v>
      </c>
      <c r="G38" s="32" t="n">
        <v>707</v>
      </c>
      <c r="H38" s="33">
        <f>SUM(B38:G38)</f>
        <v>39478</v>
      </c>
    </row>
    <row r="39">
      <c r="A39" s="34" t="inlineStr">
        <is>
          <t>2 October 2026</t>
        </is>
      </c>
      <c r="B39" s="32" t="n">
        <v>16137</v>
      </c>
      <c r="C39" s="32" t="n">
        <v>6770</v>
      </c>
      <c r="D39" s="32" t="n">
        <v>6754</v>
      </c>
      <c r="E39" s="32" t="n">
        <v>7748</v>
      </c>
      <c r="F39" s="32" t="n">
        <v>1362</v>
      </c>
      <c r="G39" s="32" t="n">
        <v>707</v>
      </c>
      <c r="H39" s="33">
        <f>SUM(B39:G39)</f>
        <v>39478</v>
      </c>
    </row>
    <row r="40" ht="28.5" customHeight="1">
      <c r="A40" s="34" t="inlineStr">
        <is>
          <t>Future layer, from the 2027 intake</t>
        </is>
      </c>
      <c r="B40" s="32" t="n">
        <v>16137</v>
      </c>
      <c r="C40" s="32" t="n">
        <v>6773</v>
      </c>
      <c r="D40" s="32" t="n">
        <v>6754</v>
      </c>
      <c r="E40" s="32" t="n">
        <v>8452</v>
      </c>
      <c r="F40" s="32" t="n">
        <v>1362</v>
      </c>
      <c r="G40" s="32" t="n">
        <v>0</v>
      </c>
      <c r="H40" s="33">
        <f>SUM(B40:G40)</f>
        <v>39478</v>
      </c>
      <c r="J40" s="27" t="inlineStr">
        <is>
          <t>Sources</t>
        </is>
      </c>
    </row>
    <row r="41">
      <c r="J41" s="42" t="inlineStr">
        <is>
          <t>NSW Department of Education: school intake zones (catchment areas) for NSW government schools, on Data.NSW</t>
        </is>
      </c>
    </row>
    <row r="42">
      <c r="J42" s="42" t="inlineStr">
        <is>
          <t>ABS 2021 Census mesh block counts</t>
        </is>
      </c>
    </row>
    <row r="43">
      <c r="J43" s="42" t="inlineStr">
        <is>
          <t>School Infrastructure NSW: Mowbray Public School (intake area changing from 2027)</t>
        </is>
      </c>
    </row>
    <row r="44">
      <c r="J44" s="42" t="inlineStr">
        <is>
          <t>ACARA Data Access Program: Enrolments by Grade 2008-2025 and School Locations 2025</t>
        </is>
      </c>
    </row>
  </sheetData>
  <mergeCells count="9">
    <mergeCell ref="J9:J12"/>
    <mergeCell ref="J5:J6"/>
    <mergeCell ref="A20:H20"/>
    <mergeCell ref="J29:J31"/>
    <mergeCell ref="J33:J34"/>
    <mergeCell ref="J36:J38"/>
    <mergeCell ref="J14:J17"/>
    <mergeCell ref="J19:J20"/>
    <mergeCell ref="J22:J27"/>
  </mergeCells>
  <hyperlinks>
    <hyperlink xmlns:r="http://schemas.openxmlformats.org/officeDocument/2006/relationships" ref="A2" r:id="rId1"/>
    <hyperlink xmlns:r="http://schemas.openxmlformats.org/officeDocument/2006/relationships" ref="J9" r:id="rId2"/>
    <hyperlink xmlns:r="http://schemas.openxmlformats.org/officeDocument/2006/relationships" ref="J22" r:id="rId3"/>
    <hyperlink xmlns:r="http://schemas.openxmlformats.org/officeDocument/2006/relationships" ref="J41" r:id="rId4"/>
    <hyperlink xmlns:r="http://schemas.openxmlformats.org/officeDocument/2006/relationships" ref="J42" r:id="rId5"/>
    <hyperlink xmlns:r="http://schemas.openxmlformats.org/officeDocument/2006/relationships" ref="J43" r:id="rId6"/>
    <hyperlink xmlns:r="http://schemas.openxmlformats.org/officeDocument/2006/relationships" ref="J44" r:id="rId7"/>
  </hyperlinks>
  <printOptions gridLines="0"/>
  <pageMargins left="0.75" right="0.75" top="1" bottom="1" header="0.5" footer="0.5"/>
  <pageSetup orientation="landscape" paperSize="9" fitToHeight="0" fitToWidth="1"/>
</worksheet>
</file>

<file path=xl/worksheets/sheet21.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3" customWidth="1" min="7" max="7"/>
    <col width="95" customWidth="1" min="8" max="8"/>
  </cols>
  <sheetData>
    <row r="1">
      <c r="A1" s="7" t="inlineStr">
        <is>
          <t>Year 5 against the same children's Year 4, three Lane Cove public schools</t>
        </is>
      </c>
    </row>
    <row r="2">
      <c r="A2" s="25" t="inlineStr">
        <is>
          <t>Lane Cove Public, Lane Cove West Public and Greenwich Public combined (our sums of each school's ACARA figures). ACARA, August census.</t>
        </is>
      </c>
    </row>
    <row r="3"/>
    <row r="4" ht="42" customHeight="1">
      <c r="A4" s="26" t="inlineStr">
        <is>
          <t>Year</t>
        </is>
      </c>
      <c r="B4" s="26" t="inlineStr">
        <is>
          <t>Year 4 the year before</t>
        </is>
      </c>
      <c r="C4" s="26" t="inlineStr">
        <is>
          <t>Year 5</t>
        </is>
      </c>
      <c r="D4" s="26" t="inlineStr">
        <is>
          <t>Change</t>
        </is>
      </c>
      <c r="E4" s="26" t="inlineStr">
        <is>
          <t>Year 5 as a share of Year 4</t>
        </is>
      </c>
      <c r="F4" s="26" t="inlineStr">
        <is>
          <t>Smaller by, per 100</t>
        </is>
      </c>
      <c r="H4" s="27" t="inlineStr">
        <is>
          <t>How the figures are worked out</t>
        </is>
      </c>
    </row>
    <row r="5">
      <c r="A5" s="31" t="n">
        <v>2010</v>
      </c>
      <c r="B5" s="32" t="n">
        <v>203</v>
      </c>
      <c r="C5" s="32" t="n">
        <v>171</v>
      </c>
      <c r="D5" s="38">
        <f>C5-B5</f>
        <v>-32</v>
      </c>
      <c r="E5" s="53">
        <f>C5/B5</f>
        <v>0.842364532019704</v>
      </c>
      <c r="F5" s="44">
        <f>(1-E5)*100</f>
        <v>15.7635467980296</v>
      </c>
      <c r="H5" s="3" t="inlineStr">
        <is>
          <t>Each year's Year 5 enrolment at the three schools is set against the same schools' Year 4 a year earlier. Pooled figures add the Year 4 and Year 5 numbers over each period before dividing.</t>
        </is>
      </c>
    </row>
    <row r="6">
      <c r="A6" s="31" t="n">
        <v>2011</v>
      </c>
      <c r="B6" s="32" t="n">
        <v>243</v>
      </c>
      <c r="C6" s="32" t="n">
        <v>194</v>
      </c>
      <c r="D6" s="38">
        <f>C6-B6</f>
        <v>-49</v>
      </c>
      <c r="E6" s="53">
        <f>C6/B6</f>
        <v>0.798353909465021</v>
      </c>
      <c r="F6" s="44">
        <f>(1-E6)*100</f>
        <v>20.1646090534979</v>
      </c>
    </row>
    <row r="7">
      <c r="A7" s="31" t="n">
        <v>2012</v>
      </c>
      <c r="B7" s="32" t="n">
        <v>217</v>
      </c>
      <c r="C7" s="32" t="n">
        <v>174</v>
      </c>
      <c r="D7" s="38">
        <f>C7-B7</f>
        <v>-43</v>
      </c>
      <c r="E7" s="53">
        <f>C7/B7</f>
        <v>0.80184331797235</v>
      </c>
      <c r="F7" s="44">
        <f>(1-E7)*100</f>
        <v>19.815668202765</v>
      </c>
    </row>
    <row r="8">
      <c r="A8" s="31" t="n">
        <v>2013</v>
      </c>
      <c r="B8" s="32" t="n">
        <v>229</v>
      </c>
      <c r="C8" s="32" t="n">
        <v>198</v>
      </c>
      <c r="D8" s="38">
        <f>C8-B8</f>
        <v>-31</v>
      </c>
      <c r="E8" s="53">
        <f>C8/B8</f>
        <v>0.864628820960699</v>
      </c>
      <c r="F8" s="44">
        <f>(1-E8)*100</f>
        <v>13.5371179039301</v>
      </c>
    </row>
    <row r="9">
      <c r="A9" s="31" t="n">
        <v>2014</v>
      </c>
      <c r="B9" s="32" t="n">
        <v>273</v>
      </c>
      <c r="C9" s="32" t="n">
        <v>234</v>
      </c>
      <c r="D9" s="38">
        <f>C9-B9</f>
        <v>-39</v>
      </c>
      <c r="E9" s="53">
        <f>C9/B9</f>
        <v>0.857142857142857</v>
      </c>
      <c r="F9" s="44">
        <f>(1-E9)*100</f>
        <v>14.2857142857143</v>
      </c>
      <c r="H9" s="3" t="inlineStr">
        <is>
          <t>The pooled figure for each of the three periods runs at 15 to 18 in every 100: about one in six, on average, since 2010, which is what the article says. Single years range more widely, as the last two rows of the table show.</t>
        </is>
      </c>
    </row>
    <row r="10">
      <c r="A10" s="31" t="n">
        <v>2015</v>
      </c>
      <c r="B10" s="32" t="n">
        <v>283</v>
      </c>
      <c r="C10" s="32" t="n">
        <v>227</v>
      </c>
      <c r="D10" s="38">
        <f>C10-B10</f>
        <v>-56</v>
      </c>
      <c r="E10" s="53">
        <f>C10/B10</f>
        <v>0.802120141342756</v>
      </c>
      <c r="F10" s="44">
        <f>(1-E10)*100</f>
        <v>19.7879858657244</v>
      </c>
    </row>
    <row r="11">
      <c r="A11" s="31" t="n">
        <v>2016</v>
      </c>
      <c r="B11" s="32" t="n">
        <v>259</v>
      </c>
      <c r="C11" s="32" t="n">
        <v>223</v>
      </c>
      <c r="D11" s="38">
        <f>C11-B11</f>
        <v>-36</v>
      </c>
      <c r="E11" s="53">
        <f>C11/B11</f>
        <v>0.861003861003861</v>
      </c>
      <c r="F11" s="44">
        <f>(1-E11)*100</f>
        <v>13.8996138996139</v>
      </c>
    </row>
    <row r="12">
      <c r="A12" s="31" t="n">
        <v>2017</v>
      </c>
      <c r="B12" s="32" t="n">
        <v>289</v>
      </c>
      <c r="C12" s="32" t="n">
        <v>248</v>
      </c>
      <c r="D12" s="38">
        <f>C12-B12</f>
        <v>-41</v>
      </c>
      <c r="E12" s="53">
        <f>C12/B12</f>
        <v>0.858131487889273</v>
      </c>
      <c r="F12" s="44">
        <f>(1-E12)*100</f>
        <v>14.1868512110727</v>
      </c>
    </row>
    <row r="13">
      <c r="A13" s="31" t="n">
        <v>2018</v>
      </c>
      <c r="B13" s="32" t="n">
        <v>299</v>
      </c>
      <c r="C13" s="32" t="n">
        <v>246</v>
      </c>
      <c r="D13" s="38">
        <f>C13-B13</f>
        <v>-53</v>
      </c>
      <c r="E13" s="53">
        <f>C13/B13</f>
        <v>0.822742474916388</v>
      </c>
      <c r="F13" s="44">
        <f>(1-E13)*100</f>
        <v>17.7257525083612</v>
      </c>
      <c r="H13" s="3" t="inlineStr">
        <is>
          <t>Our arithmetic.</t>
        </is>
      </c>
    </row>
    <row r="14">
      <c r="A14" s="31" t="n">
        <v>2019</v>
      </c>
      <c r="B14" s="32" t="n">
        <v>260</v>
      </c>
      <c r="C14" s="32" t="n">
        <v>227</v>
      </c>
      <c r="D14" s="38">
        <f>C14-B14</f>
        <v>-33</v>
      </c>
      <c r="E14" s="53">
        <f>C14/B14</f>
        <v>0.873076923076923</v>
      </c>
      <c r="F14" s="44">
        <f>(1-E14)*100</f>
        <v>12.6923076923077</v>
      </c>
    </row>
    <row r="15">
      <c r="A15" s="31" t="n">
        <v>2020</v>
      </c>
      <c r="B15" s="32" t="n">
        <v>284</v>
      </c>
      <c r="C15" s="32" t="n">
        <v>239</v>
      </c>
      <c r="D15" s="38">
        <f>C15-B15</f>
        <v>-45</v>
      </c>
      <c r="E15" s="53">
        <f>C15/B15</f>
        <v>0.841549295774648</v>
      </c>
      <c r="F15" s="44">
        <f>(1-E15)*100</f>
        <v>15.8450704225352</v>
      </c>
      <c r="H15" s="4" t="inlineStr">
        <is>
          <t>Year 5 is also when opportunity classes begin at Artarmon and Chatswood public schools (NSW Department of Education, opportunity classes). Those schools' Year 5 figures are not shown, because they mix opportunity-class places with ordinary enrolment changes.</t>
        </is>
      </c>
    </row>
    <row r="16">
      <c r="A16" s="31" t="n">
        <v>2021</v>
      </c>
      <c r="B16" s="32" t="n">
        <v>265</v>
      </c>
      <c r="C16" s="32" t="n">
        <v>209</v>
      </c>
      <c r="D16" s="38">
        <f>C16-B16</f>
        <v>-56</v>
      </c>
      <c r="E16" s="53">
        <f>C16/B16</f>
        <v>0.788679245283019</v>
      </c>
      <c r="F16" s="44">
        <f>(1-E16)*100</f>
        <v>21.1320754716981</v>
      </c>
    </row>
    <row r="17">
      <c r="A17" s="31" t="n">
        <v>2022</v>
      </c>
      <c r="B17" s="32" t="n">
        <v>269</v>
      </c>
      <c r="C17" s="32" t="n">
        <v>215</v>
      </c>
      <c r="D17" s="38">
        <f>C17-B17</f>
        <v>-54</v>
      </c>
      <c r="E17" s="53">
        <f>C17/B17</f>
        <v>0.799256505576208</v>
      </c>
      <c r="F17" s="44">
        <f>(1-E17)*100</f>
        <v>20.0743494423792</v>
      </c>
    </row>
    <row r="18">
      <c r="A18" s="31" t="n">
        <v>2023</v>
      </c>
      <c r="B18" s="32" t="n">
        <v>271</v>
      </c>
      <c r="C18" s="32" t="n">
        <v>232</v>
      </c>
      <c r="D18" s="38">
        <f>C18-B18</f>
        <v>-39</v>
      </c>
      <c r="E18" s="53">
        <f>C18/B18</f>
        <v>0.856088560885609</v>
      </c>
      <c r="F18" s="44">
        <f>(1-E18)*100</f>
        <v>14.3911439114391</v>
      </c>
    </row>
    <row r="19">
      <c r="A19" s="31" t="n">
        <v>2024</v>
      </c>
      <c r="B19" s="32" t="n">
        <v>275</v>
      </c>
      <c r="C19" s="32" t="n">
        <v>219</v>
      </c>
      <c r="D19" s="38">
        <f>C19-B19</f>
        <v>-56</v>
      </c>
      <c r="E19" s="53">
        <f>C19/B19</f>
        <v>0.796363636363636</v>
      </c>
      <c r="F19" s="44">
        <f>(1-E19)*100</f>
        <v>20.3636363636364</v>
      </c>
      <c r="H19" s="4" t="inlineStr">
        <is>
          <t>Year 4 and Year 5 here add up the three schools' own ACARA Year 4 and Year 5 figures (our sums).</t>
        </is>
      </c>
    </row>
    <row r="20">
      <c r="A20" s="31" t="n">
        <v>2025</v>
      </c>
      <c r="B20" s="32" t="n">
        <v>247</v>
      </c>
      <c r="C20" s="32" t="n">
        <v>201</v>
      </c>
      <c r="D20" s="38">
        <f>C20-B20</f>
        <v>-46</v>
      </c>
      <c r="E20" s="53">
        <f>C20/B20</f>
        <v>0.813765182186235</v>
      </c>
      <c r="F20" s="44">
        <f>(1-E20)*100</f>
        <v>18.6234817813765</v>
      </c>
    </row>
    <row r="21"/>
    <row r="22">
      <c r="A22" s="34" t="inlineStr">
        <is>
          <t>Pooled, 2010 to 2015</t>
        </is>
      </c>
      <c r="B22" s="33">
        <f>SUM(B5:B10)</f>
        <v>1448</v>
      </c>
      <c r="C22" s="33">
        <f>SUM(C5:C10)</f>
        <v>1198</v>
      </c>
      <c r="D22" s="38">
        <f>C22-B22</f>
        <v>-250</v>
      </c>
      <c r="E22" s="53">
        <f>C22/B22</f>
        <v>0.827348066298343</v>
      </c>
      <c r="F22" s="44">
        <f>(1-E22)*100</f>
        <v>17.2651933701657</v>
      </c>
      <c r="H22" s="3" t="inlineStr">
        <is>
          <t>Year 5 net intake at named nearby non-government schools is on the Year 5 intake, private schools sheet, which follows this one.</t>
        </is>
      </c>
    </row>
    <row r="23">
      <c r="A23" s="34" t="inlineStr">
        <is>
          <t>Pooled, 2016 to 2019</t>
        </is>
      </c>
      <c r="B23" s="33">
        <f>SUM(B11:B14)</f>
        <v>1107</v>
      </c>
      <c r="C23" s="33">
        <f>SUM(C11:C14)</f>
        <v>944</v>
      </c>
      <c r="D23" s="38">
        <f>C23-B23</f>
        <v>-163</v>
      </c>
      <c r="E23" s="53">
        <f>C23/B23</f>
        <v>0.852755194218609</v>
      </c>
      <c r="F23" s="44">
        <f>(1-E23)*100</f>
        <v>14.7244805781391</v>
      </c>
    </row>
    <row r="24">
      <c r="A24" s="34" t="inlineStr">
        <is>
          <t>Pooled, 2020 to 2025</t>
        </is>
      </c>
      <c r="B24" s="33">
        <f>SUM(B15:B20)</f>
        <v>1611</v>
      </c>
      <c r="C24" s="33">
        <f>SUM(C15:C20)</f>
        <v>1315</v>
      </c>
      <c r="D24" s="38">
        <f>C24-B24</f>
        <v>-296</v>
      </c>
      <c r="E24" s="53">
        <f>C24/B24</f>
        <v>0.816263190564867</v>
      </c>
      <c r="F24" s="44">
        <f>(1-E24)*100</f>
        <v>18.3736809435134</v>
      </c>
    </row>
    <row r="25">
      <c r="A25" s="34" t="inlineStr">
        <is>
          <t>Lowest of the three periods</t>
        </is>
      </c>
      <c r="F25" s="44">
        <f>MIN(F22:F24)</f>
        <v>14.7244805781391</v>
      </c>
      <c r="H25" s="27" t="inlineStr">
        <is>
          <t>Sources</t>
        </is>
      </c>
    </row>
    <row r="26">
      <c r="A26" s="34" t="inlineStr">
        <is>
          <t>Highest of the three periods</t>
        </is>
      </c>
      <c r="F26" s="44">
        <f>MAX(F22:F24)</f>
        <v>18.3736809435134</v>
      </c>
      <c r="H26" s="42" t="inlineStr">
        <is>
          <t>ACARA Data Access Program: Enrolments by Grade 2008-2025 and School Locations 2025</t>
        </is>
      </c>
    </row>
    <row r="27">
      <c r="A27" s="34" t="inlineStr">
        <is>
          <t>Lowest single year</t>
        </is>
      </c>
      <c r="F27" s="44">
        <f>MIN(F5:F20)</f>
        <v>12.6923076923077</v>
      </c>
      <c r="H27" s="42" t="inlineStr">
        <is>
          <t>NSW Department of Education: opportunity classes, Year 5</t>
        </is>
      </c>
    </row>
    <row r="28">
      <c r="A28" s="34" t="inlineStr">
        <is>
          <t>Highest single year</t>
        </is>
      </c>
      <c r="F28" s="44">
        <f>MAX(F5:F20)</f>
        <v>21.1320754716981</v>
      </c>
    </row>
  </sheetData>
  <mergeCells count="5">
    <mergeCell ref="H9:H11"/>
    <mergeCell ref="H15:H17"/>
    <mergeCell ref="H22:H23"/>
    <mergeCell ref="H5:H7"/>
    <mergeCell ref="H19:H20"/>
  </mergeCells>
  <hyperlinks>
    <hyperlink xmlns:r="http://schemas.openxmlformats.org/officeDocument/2006/relationships" ref="A2" r:id="rId1"/>
    <hyperlink xmlns:r="http://schemas.openxmlformats.org/officeDocument/2006/relationships" ref="H15" r:id="rId2"/>
    <hyperlink xmlns:r="http://schemas.openxmlformats.org/officeDocument/2006/relationships" ref="H19" r:id="rId3"/>
    <hyperlink xmlns:r="http://schemas.openxmlformats.org/officeDocument/2006/relationships" ref="H26" r:id="rId4"/>
    <hyperlink xmlns:r="http://schemas.openxmlformats.org/officeDocument/2006/relationships" ref="H27" r:id="rId5"/>
  </hyperlinks>
  <printOptions gridLines="0"/>
  <pageMargins left="0.75" right="0.75" top="1" bottom="1" header="0.5" footer="0.5"/>
  <pageSetup orientation="landscape" paperSize="9" fitToHeight="0" fitToWidth="1"/>
</worksheet>
</file>

<file path=xl/worksheets/sheet22.xml><?xml version="1.0" encoding="utf-8"?>
<worksheet xmlns="http://schemas.openxmlformats.org/spreadsheetml/2006/main">
  <sheetPr>
    <outlinePr summaryBelow="1" summaryRight="1"/>
    <pageSetUpPr fitToPage="1"/>
  </sheetPr>
  <dimension ref="A1:J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3" customWidth="1" min="9" max="9"/>
    <col width="95" customWidth="1" min="10" max="10"/>
  </cols>
  <sheetData>
    <row r="1">
      <c r="A1" s="7" t="inlineStr">
        <is>
          <t>Year 5 net intake at named nearby non-government schools, 2010 to 2025</t>
        </is>
      </c>
    </row>
    <row r="2">
      <c r="A2" s="25" t="inlineStr">
        <is>
          <t>Our arithmetic from ACARA figures: Year 5 at the school minus Year 4 at the same school a year earlier (August census).</t>
        </is>
      </c>
    </row>
    <row r="3"/>
    <row r="4" ht="56" customHeight="1">
      <c r="A4" s="26" t="inlineStr">
        <is>
          <t>Year</t>
        </is>
      </c>
      <c r="B4" s="26" t="inlineStr">
        <is>
          <t>Saint Ignatius' College Riverview</t>
        </is>
      </c>
      <c r="C4" s="26" t="inlineStr">
        <is>
          <t>St Aloysius' College (Kirribilli)</t>
        </is>
      </c>
      <c r="D4" s="26" t="inlineStr">
        <is>
          <t>Shore (incl. prep campuses)</t>
        </is>
      </c>
      <c r="E4" s="26" t="inlineStr">
        <is>
          <t>Loreto Kirribilli</t>
        </is>
      </c>
      <c r="F4" s="26" t="inlineStr">
        <is>
          <t>Wenona</t>
        </is>
      </c>
      <c r="G4" s="26" t="inlineStr">
        <is>
          <t>Marist Catholic College North Shore</t>
        </is>
      </c>
      <c r="H4" s="26" t="inlineStr">
        <is>
          <t>St Pius X College Chatswood</t>
        </is>
      </c>
      <c r="J4" s="27" t="inlineStr">
        <is>
          <t>How the figures are worked out</t>
        </is>
      </c>
    </row>
    <row r="5">
      <c r="A5" s="31" t="n">
        <v>2010</v>
      </c>
      <c r="B5" s="58" t="n">
        <v>99</v>
      </c>
      <c r="C5" s="58" t="n">
        <v>60</v>
      </c>
      <c r="D5" s="58" t="n">
        <v>23</v>
      </c>
      <c r="E5" s="58" t="n">
        <v>27</v>
      </c>
      <c r="F5" s="58" t="n">
        <v>25</v>
      </c>
      <c r="G5" s="58" t="n"/>
      <c r="H5" s="58" t="n">
        <v>96</v>
      </c>
      <c r="J5" s="4" t="inlineStr">
        <is>
          <t>Year 5 net intake is Year 5 at the school in a year minus Year 4 at the same school a year earlier (ACARA, August census). A school with no Year 4, such as Saint Ignatius' College Riverview, counts its whole Year 5. The figure is net: it cannot say where the students came from. Our arithmetic.</t>
        </is>
      </c>
    </row>
    <row r="6">
      <c r="A6" s="31" t="n">
        <v>2011</v>
      </c>
      <c r="B6" s="58" t="n">
        <v>99</v>
      </c>
      <c r="C6" s="58" t="n">
        <v>60</v>
      </c>
      <c r="D6" s="58" t="n">
        <v>24</v>
      </c>
      <c r="E6" s="58" t="n">
        <v>28</v>
      </c>
      <c r="F6" s="58" t="n">
        <v>33</v>
      </c>
      <c r="G6" s="58" t="n"/>
      <c r="H6" s="58" t="n">
        <v>96</v>
      </c>
    </row>
    <row r="7">
      <c r="A7" s="31" t="n">
        <v>2012</v>
      </c>
      <c r="B7" s="58" t="n">
        <v>103</v>
      </c>
      <c r="C7" s="58" t="n">
        <v>64</v>
      </c>
      <c r="D7" s="58" t="n">
        <v>24</v>
      </c>
      <c r="E7" s="58" t="n">
        <v>28</v>
      </c>
      <c r="F7" s="58" t="n">
        <v>29</v>
      </c>
      <c r="G7" s="58" t="n"/>
      <c r="H7" s="58" t="n">
        <v>96</v>
      </c>
    </row>
    <row r="8">
      <c r="A8" s="31" t="n">
        <v>2013</v>
      </c>
      <c r="B8" s="58" t="n">
        <v>99</v>
      </c>
      <c r="C8" s="58" t="n">
        <v>60</v>
      </c>
      <c r="D8" s="58" t="n">
        <v>24</v>
      </c>
      <c r="E8" s="58" t="n">
        <v>27</v>
      </c>
      <c r="F8" s="58" t="n">
        <v>29</v>
      </c>
      <c r="G8" s="58" t="n"/>
      <c r="H8" s="58" t="n">
        <v>96</v>
      </c>
    </row>
    <row r="9">
      <c r="A9" s="31" t="n">
        <v>2014</v>
      </c>
      <c r="B9" s="58" t="n">
        <v>104</v>
      </c>
      <c r="C9" s="58" t="n">
        <v>62</v>
      </c>
      <c r="D9" s="58" t="n">
        <v>25</v>
      </c>
      <c r="E9" s="58" t="n">
        <v>28</v>
      </c>
      <c r="F9" s="58" t="n">
        <v>29</v>
      </c>
      <c r="G9" s="58" t="n"/>
      <c r="H9" s="58" t="n">
        <v>96</v>
      </c>
    </row>
    <row r="10">
      <c r="A10" s="31" t="n">
        <v>2015</v>
      </c>
      <c r="B10" s="58" t="n">
        <v>103</v>
      </c>
      <c r="C10" s="58" t="n">
        <v>63</v>
      </c>
      <c r="D10" s="58" t="n">
        <v>23</v>
      </c>
      <c r="E10" s="58" t="n">
        <v>28</v>
      </c>
      <c r="F10" s="58" t="n">
        <v>30</v>
      </c>
      <c r="G10" s="58" t="n"/>
      <c r="H10" s="58" t="n">
        <v>96</v>
      </c>
      <c r="J10" s="3" t="inlineStr">
        <is>
          <t>Blank means the school did not have the year levels needed for the comparison that year (for example a new campus or a merger).</t>
        </is>
      </c>
    </row>
    <row r="11">
      <c r="A11" s="31" t="n">
        <v>2016</v>
      </c>
      <c r="B11" s="58" t="n">
        <v>103</v>
      </c>
      <c r="C11" s="58" t="n">
        <v>64</v>
      </c>
      <c r="D11" s="58" t="n">
        <v>24</v>
      </c>
      <c r="E11" s="58" t="n">
        <v>28</v>
      </c>
      <c r="F11" s="58" t="n">
        <v>29</v>
      </c>
      <c r="G11" s="58" t="n"/>
      <c r="H11" s="58" t="n">
        <v>96</v>
      </c>
    </row>
    <row r="12">
      <c r="A12" s="31" t="n">
        <v>2017</v>
      </c>
      <c r="B12" s="58" t="n">
        <v>104</v>
      </c>
      <c r="C12" s="58" t="n">
        <v>62</v>
      </c>
      <c r="D12" s="58" t="n">
        <v>25</v>
      </c>
      <c r="E12" s="58" t="n">
        <v>28</v>
      </c>
      <c r="F12" s="58" t="n">
        <v>30</v>
      </c>
      <c r="G12" s="58" t="n"/>
      <c r="H12" s="58" t="n">
        <v>96</v>
      </c>
    </row>
    <row r="13">
      <c r="A13" s="31" t="n">
        <v>2018</v>
      </c>
      <c r="B13" s="58" t="n">
        <v>104</v>
      </c>
      <c r="C13" s="58" t="n">
        <v>63</v>
      </c>
      <c r="D13" s="58" t="n">
        <v>24</v>
      </c>
      <c r="E13" s="58" t="n">
        <v>28</v>
      </c>
      <c r="F13" s="58" t="n">
        <v>28</v>
      </c>
      <c r="G13" s="58" t="n"/>
      <c r="H13" s="58" t="n">
        <v>96</v>
      </c>
      <c r="J13" s="3" t="inlineStr">
        <is>
          <t>The Lane Cove public schools' Year 4 to Year 5 figures are on the previous sheet, Year 4 to Year 5.</t>
        </is>
      </c>
    </row>
    <row r="14">
      <c r="A14" s="31" t="n">
        <v>2019</v>
      </c>
      <c r="B14" s="58" t="n">
        <v>103</v>
      </c>
      <c r="C14" s="58" t="n">
        <v>63</v>
      </c>
      <c r="D14" s="58" t="n">
        <v>23</v>
      </c>
      <c r="E14" s="58" t="n">
        <v>28</v>
      </c>
      <c r="F14" s="58" t="n">
        <v>43</v>
      </c>
      <c r="G14" s="58" t="n"/>
      <c r="H14" s="58" t="n">
        <v>96</v>
      </c>
    </row>
    <row r="15">
      <c r="A15" s="31" t="n">
        <v>2020</v>
      </c>
      <c r="B15" s="58" t="n">
        <v>103</v>
      </c>
      <c r="C15" s="58" t="n">
        <v>64</v>
      </c>
      <c r="D15" s="58" t="n">
        <v>23</v>
      </c>
      <c r="E15" s="58" t="n">
        <v>57</v>
      </c>
      <c r="F15" s="58" t="n">
        <v>48</v>
      </c>
      <c r="G15" s="58" t="n"/>
      <c r="H15" s="58" t="n">
        <v>95</v>
      </c>
    </row>
    <row r="16">
      <c r="A16" s="31" t="n">
        <v>2021</v>
      </c>
      <c r="B16" s="58" t="n">
        <v>107</v>
      </c>
      <c r="C16" s="58" t="n">
        <v>64</v>
      </c>
      <c r="D16" s="58" t="n">
        <v>24</v>
      </c>
      <c r="E16" s="58" t="n">
        <v>56</v>
      </c>
      <c r="F16" s="58" t="n">
        <v>47</v>
      </c>
      <c r="G16" s="58" t="n"/>
      <c r="H16" s="58" t="n">
        <v>97</v>
      </c>
      <c r="J16" s="4" t="inlineStr">
        <is>
          <t>Opportunity classes also begin in Year 5, at Artarmon and Chatswood public schools (NSW Department of Education, opportunity classes); they are not in this list.</t>
        </is>
      </c>
    </row>
    <row r="17">
      <c r="A17" s="31" t="n">
        <v>2022</v>
      </c>
      <c r="B17" s="58" t="n">
        <v>108</v>
      </c>
      <c r="C17" s="58" t="n">
        <v>64</v>
      </c>
      <c r="D17" s="58" t="n">
        <v>23</v>
      </c>
      <c r="E17" s="58" t="n">
        <v>57</v>
      </c>
      <c r="F17" s="58" t="n">
        <v>47</v>
      </c>
      <c r="G17" s="58" t="n">
        <v>-7</v>
      </c>
      <c r="H17" s="58" t="n">
        <v>96</v>
      </c>
    </row>
    <row r="18">
      <c r="A18" s="31" t="n">
        <v>2023</v>
      </c>
      <c r="B18" s="58" t="n">
        <v>107</v>
      </c>
      <c r="C18" s="58" t="n">
        <v>64</v>
      </c>
      <c r="D18" s="58" t="n">
        <v>25</v>
      </c>
      <c r="E18" s="58" t="n">
        <v>56</v>
      </c>
      <c r="F18" s="58" t="n">
        <v>47</v>
      </c>
      <c r="G18" s="58" t="n">
        <v>-7</v>
      </c>
      <c r="H18" s="58" t="n">
        <v>96</v>
      </c>
    </row>
    <row r="19">
      <c r="A19" s="31" t="n">
        <v>2024</v>
      </c>
      <c r="B19" s="58" t="n">
        <v>105</v>
      </c>
      <c r="C19" s="58" t="n">
        <v>65</v>
      </c>
      <c r="D19" s="58" t="n">
        <v>27</v>
      </c>
      <c r="E19" s="58" t="n">
        <v>59</v>
      </c>
      <c r="F19" s="58" t="n">
        <v>49</v>
      </c>
      <c r="G19" s="58" t="n">
        <v>-5</v>
      </c>
      <c r="H19" s="58" t="n">
        <v>96</v>
      </c>
      <c r="J19" s="27" t="inlineStr">
        <is>
          <t>Sources</t>
        </is>
      </c>
    </row>
    <row r="20">
      <c r="A20" s="31" t="n">
        <v>2025</v>
      </c>
      <c r="B20" s="58" t="n">
        <v>131</v>
      </c>
      <c r="C20" s="58" t="n">
        <v>63</v>
      </c>
      <c r="D20" s="58" t="n">
        <v>27</v>
      </c>
      <c r="E20" s="58" t="n">
        <v>56</v>
      </c>
      <c r="F20" s="58" t="n">
        <v>48</v>
      </c>
      <c r="G20" s="58" t="n">
        <v>-11</v>
      </c>
      <c r="H20" s="58" t="n">
        <v>105</v>
      </c>
      <c r="J20" s="42" t="inlineStr">
        <is>
          <t>ACARA Data Access Program: Enrolments by Grade 2008-2025 and School Locations 2025</t>
        </is>
      </c>
    </row>
    <row r="21">
      <c r="J21" s="42" t="inlineStr">
        <is>
          <t>NSW Department of Education: opportunity classes, Year 5</t>
        </is>
      </c>
    </row>
    <row r="22" ht="28.5" customHeight="1">
      <c r="A22" s="34" t="inlineStr">
        <is>
          <t>Schools with a Year 5 net intake above zero, 2025</t>
        </is>
      </c>
      <c r="B22" s="33">
        <f>COUNTIF(B20:H20,"&gt;0")</f>
        <v>6</v>
      </c>
    </row>
  </sheetData>
  <mergeCells count="4">
    <mergeCell ref="J13:J14"/>
    <mergeCell ref="J16:J17"/>
    <mergeCell ref="J5:J8"/>
    <mergeCell ref="J10:J11"/>
  </mergeCells>
  <hyperlinks>
    <hyperlink xmlns:r="http://schemas.openxmlformats.org/officeDocument/2006/relationships" ref="A2" r:id="rId1"/>
    <hyperlink xmlns:r="http://schemas.openxmlformats.org/officeDocument/2006/relationships" ref="J5" r:id="rId2"/>
    <hyperlink xmlns:r="http://schemas.openxmlformats.org/officeDocument/2006/relationships" ref="J16" r:id="rId3"/>
    <hyperlink xmlns:r="http://schemas.openxmlformats.org/officeDocument/2006/relationships" ref="J20" r:id="rId4"/>
    <hyperlink xmlns:r="http://schemas.openxmlformats.org/officeDocument/2006/relationships" ref="J21" r:id="rId5"/>
  </hyperlinks>
  <printOptions gridLines="0"/>
  <pageMargins left="0.75" right="0.75" top="1" bottom="1" header="0.5" footer="0.5"/>
  <pageSetup orientation="landscape" paperSize="9" fitToHeight="0" fitToWidth="1"/>
</worksheet>
</file>

<file path=xl/worksheets/sheet23.xml><?xml version="1.0" encoding="utf-8"?>
<worksheet xmlns="http://schemas.openxmlformats.org/spreadsheetml/2006/main">
  <sheetPr>
    <outlinePr summaryBelow="1" summaryRight="1"/>
    <pageSetUpPr fitToPage="1"/>
  </sheetPr>
  <dimension ref="A1:L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5" customWidth="1" min="2" max="2"/>
    <col width="12" customWidth="1" min="3" max="3"/>
    <col width="15" customWidth="1" min="4" max="4"/>
    <col width="17" customWidth="1" min="5" max="5"/>
    <col width="15" customWidth="1" min="6" max="6"/>
    <col width="14" customWidth="1" min="7" max="7"/>
    <col width="14" customWidth="1" min="8" max="8"/>
    <col width="14" customWidth="1" min="9" max="9"/>
    <col width="14" customWidth="1" min="10" max="10"/>
    <col width="3" customWidth="1" min="11" max="11"/>
    <col width="95" customWidth="1" min="12" max="12"/>
  </cols>
  <sheetData>
    <row r="1">
      <c r="A1" s="7" t="inlineStr">
        <is>
          <t>Lane Cove births, fertility rate and children under five, 2011 to 2036</t>
        </is>
      </c>
    </row>
    <row r="2">
      <c r="A2" s="25" t="inlineStr">
        <is>
          <t>Births by year of registration (ABS). Under-fives: ABS estimate and NSW 2024 projection, 30 June.</t>
        </is>
      </c>
    </row>
    <row r="3"/>
    <row r="4" ht="70" customHeight="1">
      <c r="A4" s="26" t="inlineStr">
        <is>
          <t>Year</t>
        </is>
      </c>
      <c r="B4" s="26" t="inlineStr">
        <is>
          <t>Births registered to Lane Cove residents</t>
        </is>
      </c>
      <c r="C4" s="26" t="inlineStr">
        <is>
          <t>Change on the year before</t>
        </is>
      </c>
      <c r="D4" s="26" t="inlineStr">
        <is>
          <t>Kindergarten class it is set against (year + 5)</t>
        </is>
      </c>
      <c r="E4" s="26" t="inlineStr">
        <is>
          <t>A child born this year can start kindergarten in</t>
        </is>
      </c>
      <c r="F4" s="26" t="inlineStr">
        <is>
          <t>Fertility rate (three-year average to this year)</t>
        </is>
      </c>
      <c r="G4" s="26" t="inlineStr">
        <is>
          <t>Children aged 0 to 4: ABS estimate</t>
        </is>
      </c>
      <c r="H4" s="26" t="inlineStr">
        <is>
          <t>Children aged 0 to 4: NSW 2024 projection</t>
        </is>
      </c>
      <c r="I4" s="26" t="inlineStr">
        <is>
          <t>Projection minus ABS estimate</t>
        </is>
      </c>
      <c r="J4" s="26" t="inlineStr">
        <is>
          <t>Registration timing (NSW)</t>
        </is>
      </c>
      <c r="L4" s="27" t="inlineStr">
        <is>
          <t>In the article</t>
        </is>
      </c>
    </row>
    <row r="5">
      <c r="A5" s="31" t="n">
        <v>2011</v>
      </c>
      <c r="B5" s="32" t="n">
        <v>448</v>
      </c>
      <c r="C5" s="58" t="n"/>
      <c r="D5" s="40">
        <f>A5+5</f>
        <v>2016</v>
      </c>
      <c r="E5" s="41" t="str">
        <f>(A5+5)&amp;" or "&amp;(A5+6)</f>
        <v>2016 or 2017</v>
      </c>
      <c r="F5" s="59" t="n"/>
      <c r="G5" s="32" t="n">
        <v>2266</v>
      </c>
      <c r="H5" s="32" t="n"/>
      <c r="I5" s="43" t="n"/>
      <c r="J5" s="43" t="inlineStr"/>
      <c r="L5" s="30" t="inlineStr">
        <is>
          <t>“That holds even allowing for registration timing.”</t>
        </is>
      </c>
    </row>
    <row r="6">
      <c r="A6" s="31" t="n">
        <v>2012</v>
      </c>
      <c r="B6" s="32" t="n">
        <v>472</v>
      </c>
      <c r="C6" s="38">
        <f>B6-B5</f>
        <v>24</v>
      </c>
      <c r="D6" s="40">
        <f>A6+5</f>
        <v>2017</v>
      </c>
      <c r="E6" s="41" t="str">
        <f>(A6+5)&amp;" or "&amp;(A6+6)</f>
        <v>2017 or 2018</v>
      </c>
      <c r="F6" s="59" t="n"/>
      <c r="G6" s="32" t="n">
        <v>2280</v>
      </c>
      <c r="H6" s="32" t="n"/>
      <c r="I6" s="43" t="n"/>
      <c r="J6" s="43" t="inlineStr"/>
    </row>
    <row r="7">
      <c r="A7" s="31" t="n">
        <v>2013</v>
      </c>
      <c r="B7" s="32" t="n">
        <v>478</v>
      </c>
      <c r="C7" s="38">
        <f>B7-B6</f>
        <v>6</v>
      </c>
      <c r="D7" s="40">
        <f>A7+5</f>
        <v>2018</v>
      </c>
      <c r="E7" s="41" t="str">
        <f>(A7+5)&amp;" or "&amp;(A7+6)</f>
        <v>2018 or 2019</v>
      </c>
      <c r="F7" s="59" t="n">
        <v>1.68</v>
      </c>
      <c r="G7" s="32" t="n">
        <v>2278</v>
      </c>
      <c r="H7" s="32" t="n"/>
      <c r="I7" s="43" t="n"/>
      <c r="J7" s="43" t="inlineStr"/>
      <c r="L7" s="30" t="inlineStr">
        <is>
          <t>“Not fewer babies, yet: the children who started kindergarten in 2023 to 2025 were born in years with more births than those who started in 2016 to 2020, but with more young children moving away than arriving, no more school-age children live here than before.”</t>
        </is>
      </c>
    </row>
    <row r="8">
      <c r="A8" s="31" t="n">
        <v>2014</v>
      </c>
      <c r="B8" s="32" t="n">
        <v>433</v>
      </c>
      <c r="C8" s="38">
        <f>B8-B7</f>
        <v>-45</v>
      </c>
      <c r="D8" s="40">
        <f>A8+5</f>
        <v>2019</v>
      </c>
      <c r="E8" s="41" t="str">
        <f>(A8+5)&amp;" or "&amp;(A8+6)</f>
        <v>2019 or 2020</v>
      </c>
      <c r="F8" s="59" t="n">
        <v>1.62</v>
      </c>
      <c r="G8" s="32" t="n">
        <v>2334</v>
      </c>
      <c r="H8" s="32" t="n"/>
      <c r="I8" s="43" t="n"/>
      <c r="J8" s="43" t="inlineStr">
        <is>
          <t>depressed</t>
        </is>
      </c>
    </row>
    <row r="9">
      <c r="A9" s="31" t="n">
        <v>2015</v>
      </c>
      <c r="B9" s="32" t="n">
        <v>516</v>
      </c>
      <c r="C9" s="38">
        <f>B9-B8</f>
        <v>83</v>
      </c>
      <c r="D9" s="40">
        <f>A9+5</f>
        <v>2020</v>
      </c>
      <c r="E9" s="41" t="str">
        <f>(A9+5)&amp;" or "&amp;(A9+6)</f>
        <v>2020 or 2021</v>
      </c>
      <c r="F9" s="59" t="n">
        <v>1.6</v>
      </c>
      <c r="G9" s="32" t="n">
        <v>2398</v>
      </c>
      <c r="H9" s="32" t="n"/>
      <c r="I9" s="43" t="n"/>
      <c r="J9" s="43" t="inlineStr"/>
    </row>
    <row r="10">
      <c r="A10" s="31" t="n">
        <v>2016</v>
      </c>
      <c r="B10" s="32" t="n">
        <v>546</v>
      </c>
      <c r="C10" s="38">
        <f>B10-B9</f>
        <v>30</v>
      </c>
      <c r="D10" s="40">
        <f>A10+5</f>
        <v>2021</v>
      </c>
      <c r="E10" s="41" t="str">
        <f>(A10+5)&amp;" or "&amp;(A10+6)</f>
        <v>2021 or 2022</v>
      </c>
      <c r="F10" s="59" t="n">
        <v>1.59</v>
      </c>
      <c r="G10" s="32" t="n">
        <v>2607</v>
      </c>
      <c r="H10" s="32" t="n"/>
      <c r="I10" s="43" t="n"/>
      <c r="J10" s="43" t="inlineStr">
        <is>
          <t>depressed</t>
        </is>
      </c>
    </row>
    <row r="11">
      <c r="A11" s="31" t="n">
        <v>2017</v>
      </c>
      <c r="B11" s="32" t="n">
        <v>533</v>
      </c>
      <c r="C11" s="38">
        <f>B11-B10</f>
        <v>-13</v>
      </c>
      <c r="D11" s="40">
        <f>A11+5</f>
        <v>2022</v>
      </c>
      <c r="E11" s="41" t="str">
        <f>(A11+5)&amp;" or "&amp;(A11+6)</f>
        <v>2022 or 2023</v>
      </c>
      <c r="F11" s="59" t="n">
        <v>1.63</v>
      </c>
      <c r="G11" s="32" t="n">
        <v>2650</v>
      </c>
      <c r="H11" s="32" t="n"/>
      <c r="I11" s="43" t="n"/>
      <c r="J11" s="43" t="inlineStr">
        <is>
          <t>depressed</t>
        </is>
      </c>
      <c r="L11" s="30" t="inlineStr">
        <is>
          <t>“The births fall has not reached the classrooms yet: children under five living in Lane Cove fell from 2,653 in 2019 to 2,348 in 2025 (ABS estimates).”</t>
        </is>
      </c>
    </row>
    <row r="12">
      <c r="A12" s="31" t="n">
        <v>2018</v>
      </c>
      <c r="B12" s="32" t="n">
        <v>598</v>
      </c>
      <c r="C12" s="38">
        <f>B12-B11</f>
        <v>65</v>
      </c>
      <c r="D12" s="40">
        <f>A12+5</f>
        <v>2023</v>
      </c>
      <c r="E12" s="41" t="str">
        <f>(A12+5)&amp;" or "&amp;(A12+6)</f>
        <v>2023 or 2024</v>
      </c>
      <c r="F12" s="59" t="n">
        <v>1.65</v>
      </c>
      <c r="G12" s="32" t="n">
        <v>2633</v>
      </c>
      <c r="H12" s="32" t="n"/>
      <c r="I12" s="43" t="n"/>
      <c r="J12" s="43" t="inlineStr">
        <is>
          <t>inflated</t>
        </is>
      </c>
    </row>
    <row r="13">
      <c r="A13" s="31" t="n">
        <v>2019</v>
      </c>
      <c r="B13" s="32" t="n">
        <v>564</v>
      </c>
      <c r="C13" s="38">
        <f>B13-B12</f>
        <v>-34</v>
      </c>
      <c r="D13" s="40">
        <f>A13+5</f>
        <v>2024</v>
      </c>
      <c r="E13" s="41" t="str">
        <f>(A13+5)&amp;" or "&amp;(A13+6)</f>
        <v>2024 or 2025</v>
      </c>
      <c r="F13" s="59" t="n">
        <v>1.64</v>
      </c>
      <c r="G13" s="32" t="n">
        <v>2653</v>
      </c>
      <c r="H13" s="32" t="n"/>
      <c r="I13" s="43" t="n"/>
      <c r="J13" s="43" t="inlineStr"/>
    </row>
    <row r="14">
      <c r="A14" s="31" t="n">
        <v>2020</v>
      </c>
      <c r="B14" s="32" t="n">
        <v>533</v>
      </c>
      <c r="C14" s="38">
        <f>B14-B13</f>
        <v>-31</v>
      </c>
      <c r="D14" s="40">
        <f>A14+5</f>
        <v>2025</v>
      </c>
      <c r="E14" s="41" t="str">
        <f>(A14+5)&amp;" or "&amp;(A14+6)</f>
        <v>2025 or 2026</v>
      </c>
      <c r="F14" s="59" t="n">
        <v>1.61</v>
      </c>
      <c r="G14" s="32" t="n">
        <v>2558</v>
      </c>
      <c r="H14" s="32" t="n"/>
      <c r="I14" s="43" t="n"/>
      <c r="J14" s="43" t="inlineStr"/>
      <c r="L14" s="30" t="inlineStr">
        <is>
          <t>“The NSW Government's 2024 projection assumed 2,855.”</t>
        </is>
      </c>
    </row>
    <row r="15">
      <c r="A15" s="31" t="n">
        <v>2021</v>
      </c>
      <c r="B15" s="32" t="n">
        <v>573</v>
      </c>
      <c r="C15" s="38">
        <f>B15-B14</f>
        <v>40</v>
      </c>
      <c r="D15" s="40">
        <f>A15+5</f>
        <v>2026</v>
      </c>
      <c r="E15" s="41" t="str">
        <f>(A15+5)&amp;" or "&amp;(A15+6)</f>
        <v>2026 or 2027</v>
      </c>
      <c r="F15" s="59" t="n">
        <v>1.57</v>
      </c>
      <c r="G15" s="32" t="n">
        <v>2423</v>
      </c>
      <c r="H15" s="32" t="n">
        <v>2423</v>
      </c>
      <c r="I15" s="38">
        <f>H15-G15</f>
        <v>0</v>
      </c>
      <c r="J15" s="43" t="inlineStr"/>
    </row>
    <row r="16">
      <c r="A16" s="31" t="n">
        <v>2022</v>
      </c>
      <c r="B16" s="32" t="n">
        <v>541</v>
      </c>
      <c r="C16" s="38">
        <f>B16-B15</f>
        <v>-32</v>
      </c>
      <c r="D16" s="40">
        <f>A16+5</f>
        <v>2027</v>
      </c>
      <c r="E16" s="41" t="str">
        <f>(A16+5)&amp;" or "&amp;(A16+6)</f>
        <v>2027 or 2028</v>
      </c>
      <c r="F16" s="59" t="n">
        <v>1.53</v>
      </c>
      <c r="G16" s="32" t="n">
        <v>2417</v>
      </c>
      <c r="H16" s="32" t="n">
        <v>2495</v>
      </c>
      <c r="I16" s="38">
        <f>H16-G16</f>
        <v>78</v>
      </c>
      <c r="J16" s="43" t="inlineStr"/>
      <c r="L16" s="30" t="inlineStr">
        <is>
          <t>“More babies were registered to Lane Cove residents in 2018 to 2020, the birth years behind the last three kindergarten intakes, than in 2011 to 2015: about 565 a year, against about 470.”</t>
        </is>
      </c>
    </row>
    <row r="17">
      <c r="A17" s="31" t="n">
        <v>2023</v>
      </c>
      <c r="B17" s="32" t="n">
        <v>494</v>
      </c>
      <c r="C17" s="38">
        <f>B17-B16</f>
        <v>-47</v>
      </c>
      <c r="D17" s="40">
        <f>A17+5</f>
        <v>2028</v>
      </c>
      <c r="E17" s="41" t="str">
        <f>(A17+5)&amp;" or "&amp;(A17+6)</f>
        <v>2028 or 2029</v>
      </c>
      <c r="F17" s="59" t="n">
        <v>1.47</v>
      </c>
      <c r="G17" s="32" t="n">
        <v>2364</v>
      </c>
      <c r="H17" s="32" t="n">
        <v>2630</v>
      </c>
      <c r="I17" s="38">
        <f>H17-G17</f>
        <v>266</v>
      </c>
      <c r="J17" s="43" t="inlineStr"/>
    </row>
    <row r="18">
      <c r="A18" s="31" t="n">
        <v>2024</v>
      </c>
      <c r="B18" s="32" t="n">
        <v>450</v>
      </c>
      <c r="C18" s="38">
        <f>B18-B17</f>
        <v>-44</v>
      </c>
      <c r="D18" s="40">
        <f>A18+5</f>
        <v>2029</v>
      </c>
      <c r="E18" s="41" t="str">
        <f>(A18+5)&amp;" or "&amp;(A18+6)</f>
        <v>2029 or 2030</v>
      </c>
      <c r="F18" s="59" t="n">
        <v>1.33</v>
      </c>
      <c r="G18" s="32" t="n">
        <v>2368</v>
      </c>
      <c r="H18" s="32" t="n">
        <v>2796</v>
      </c>
      <c r="I18" s="38">
        <f>H18-G18</f>
        <v>428</v>
      </c>
      <c r="J18" s="43" t="inlineStr">
        <is>
          <t>understated</t>
        </is>
      </c>
    </row>
    <row r="19">
      <c r="A19" s="31" t="n">
        <v>2025</v>
      </c>
      <c r="B19" s="32" t="n"/>
      <c r="C19" s="43" t="n"/>
      <c r="D19" s="43" t="n"/>
      <c r="E19" s="43" t="n"/>
      <c r="F19" s="59" t="n"/>
      <c r="G19" s="32" t="n">
        <v>2348</v>
      </c>
      <c r="H19" s="32" t="n">
        <v>2855</v>
      </c>
      <c r="I19" s="38">
        <f>H19-G19</f>
        <v>507</v>
      </c>
    </row>
    <row r="20">
      <c r="A20" s="31" t="n">
        <v>2026</v>
      </c>
      <c r="B20" s="32" t="n"/>
      <c r="C20" s="43" t="n"/>
      <c r="D20" s="43" t="n"/>
      <c r="E20" s="43" t="n"/>
      <c r="F20" s="59" t="n"/>
      <c r="G20" s="32" t="n"/>
      <c r="H20" s="32" t="n">
        <v>2916</v>
      </c>
      <c r="I20" s="43" t="n"/>
      <c r="L20" s="30" t="inlineStr">
        <is>
          <t>“They were born around 2018, 2019 and 2020, when 598, 564 and 533 births were registered to Lane Cove residents.”</t>
        </is>
      </c>
    </row>
    <row r="21">
      <c r="A21" s="31" t="n">
        <v>2027</v>
      </c>
      <c r="B21" s="32" t="n"/>
      <c r="C21" s="43" t="n"/>
      <c r="D21" s="43" t="n"/>
      <c r="E21" s="43" t="n"/>
      <c r="F21" s="59" t="n"/>
      <c r="G21" s="32" t="n"/>
      <c r="H21" s="32" t="n">
        <v>2969</v>
      </c>
      <c r="I21" s="43" t="n"/>
    </row>
    <row r="22">
      <c r="A22" s="31" t="n">
        <v>2028</v>
      </c>
      <c r="B22" s="32" t="n"/>
      <c r="C22" s="43" t="n"/>
      <c r="D22" s="43" t="n"/>
      <c r="E22" s="43" t="n"/>
      <c r="F22" s="59" t="n"/>
      <c r="G22" s="32" t="n"/>
      <c r="H22" s="32" t="n">
        <v>3051</v>
      </c>
      <c r="I22" s="43" t="n"/>
    </row>
    <row r="23">
      <c r="A23" s="31" t="n">
        <v>2029</v>
      </c>
      <c r="B23" s="32" t="n"/>
      <c r="C23" s="43" t="n"/>
      <c r="D23" s="43" t="n"/>
      <c r="E23" s="43" t="n"/>
      <c r="F23" s="59" t="n"/>
      <c r="G23" s="32" t="n"/>
      <c r="H23" s="32" t="n">
        <v>3170</v>
      </c>
      <c r="I23" s="43" t="n"/>
      <c r="L23" s="30" t="inlineStr">
        <is>
          <t>“The children who started kindergarten in 2016 to 2020 came from years with fewer births, between 433 and 516.”</t>
        </is>
      </c>
    </row>
    <row r="24">
      <c r="A24" s="31" t="n">
        <v>2030</v>
      </c>
      <c r="B24" s="32" t="n"/>
      <c r="C24" s="43" t="n"/>
      <c r="D24" s="43" t="n"/>
      <c r="E24" s="43" t="n"/>
      <c r="F24" s="59" t="n"/>
      <c r="G24" s="32" t="n"/>
      <c r="H24" s="32" t="n">
        <v>3175</v>
      </c>
      <c r="I24" s="43" t="n"/>
    </row>
    <row r="25">
      <c r="A25" s="31" t="n">
        <v>2031</v>
      </c>
      <c r="B25" s="32" t="n"/>
      <c r="C25" s="43" t="n"/>
      <c r="D25" s="43" t="n"/>
      <c r="E25" s="43" t="n"/>
      <c r="F25" s="59" t="n"/>
      <c r="G25" s="32" t="n"/>
      <c r="H25" s="32" t="n">
        <v>3176</v>
      </c>
      <c r="I25" s="43" t="n"/>
    </row>
    <row r="26">
      <c r="A26" s="31" t="n">
        <v>2032</v>
      </c>
      <c r="B26" s="32" t="n"/>
      <c r="C26" s="43" t="n"/>
      <c r="D26" s="43" t="n"/>
      <c r="E26" s="43" t="n"/>
      <c r="F26" s="59" t="n"/>
      <c r="G26" s="32" t="n"/>
      <c r="H26" s="32" t="n">
        <v>3174</v>
      </c>
      <c r="I26" s="43" t="n"/>
      <c r="L26" s="30" t="inlineStr">
        <is>
          <t>“The NSW Government's 2024 population projection expected 2,855 under-fives in Lane Cove in 2025, 507 more than the ABS estimate of 2,348, and more than 3,100 by 2029.”</t>
        </is>
      </c>
    </row>
    <row r="27">
      <c r="A27" s="31" t="n">
        <v>2033</v>
      </c>
      <c r="B27" s="32" t="n"/>
      <c r="C27" s="43" t="n"/>
      <c r="D27" s="43" t="n"/>
      <c r="E27" s="43" t="n"/>
      <c r="F27" s="59" t="n"/>
      <c r="G27" s="32" t="n"/>
      <c r="H27" s="32" t="n">
        <v>3174</v>
      </c>
      <c r="I27" s="43" t="n"/>
    </row>
    <row r="28">
      <c r="A28" s="31" t="n">
        <v>2034</v>
      </c>
      <c r="B28" s="32" t="n"/>
      <c r="C28" s="43" t="n"/>
      <c r="D28" s="43" t="n"/>
      <c r="E28" s="43" t="n"/>
      <c r="F28" s="59" t="n"/>
      <c r="G28" s="32" t="n"/>
      <c r="H28" s="32" t="n">
        <v>3177</v>
      </c>
      <c r="I28" s="43" t="n"/>
    </row>
    <row r="29">
      <c r="A29" s="31" t="n">
        <v>2035</v>
      </c>
      <c r="B29" s="32" t="n"/>
      <c r="C29" s="43" t="n"/>
      <c r="D29" s="43" t="n"/>
      <c r="E29" s="43" t="n"/>
      <c r="F29" s="59" t="n"/>
      <c r="G29" s="32" t="n"/>
      <c r="H29" s="32" t="n">
        <v>3183</v>
      </c>
      <c r="I29" s="43" t="n"/>
      <c r="L29" s="30" t="inlineStr">
        <is>
          <t>From an earlier draft of the article, now only in this workbook: “Births registered to Lane Cove residents went from 598 in 2018 to 450 in 2024.”</t>
        </is>
      </c>
    </row>
    <row r="30">
      <c r="A30" s="31" t="n">
        <v>2036</v>
      </c>
      <c r="B30" s="32" t="n"/>
      <c r="C30" s="43" t="n"/>
      <c r="D30" s="43" t="n"/>
      <c r="E30" s="43" t="n"/>
      <c r="F30" s="59" t="n"/>
      <c r="G30" s="32" t="n"/>
      <c r="H30" s="32" t="n">
        <v>3191</v>
      </c>
      <c r="I30" s="43" t="n"/>
    </row>
    <row r="31"/>
    <row r="32" ht="41.25" customHeight="1">
      <c r="A32" s="34" t="inlineStr">
        <is>
          <t>Lowest births, 2011 to 2015 (set against kindergarten 2016 to 2020)</t>
        </is>
      </c>
      <c r="B32" s="33">
        <f>MIN(B5:B9)</f>
        <v>433</v>
      </c>
      <c r="D32" s="34" t="inlineStr">
        <is>
          <t>Average births a year, 2018 to 2020</t>
        </is>
      </c>
      <c r="E32" s="44">
        <f>AVERAGE(B12:B14)</f>
        <v>565</v>
      </c>
      <c r="L32" s="30" t="inlineStr">
        <is>
          <t>“The ABS estimates that the number of children under five living here fell from a high of 2,653 in 2019 to 2,348 in 2025.”</t>
        </is>
      </c>
    </row>
    <row r="33">
      <c r="A33" s="34" t="inlineStr">
        <is>
          <t>Highest births, 2011 to 2015</t>
        </is>
      </c>
      <c r="B33" s="33">
        <f>MAX(B5:B9)</f>
        <v>516</v>
      </c>
      <c r="D33" s="34" t="inlineStr">
        <is>
          <t>Average births a year, 2011 to 2015</t>
        </is>
      </c>
      <c r="E33" s="44">
        <f>AVERAGE(B5:B9)</f>
        <v>469.4</v>
      </c>
    </row>
    <row r="34" ht="41.25" customHeight="1">
      <c r="A34" s="34" t="inlineStr">
        <is>
          <t>Birth years after 2021 smaller than the year before (2022 to 2024)</t>
        </is>
      </c>
      <c r="C34" s="33">
        <f>COUNTIF(C16:C18,"&lt;0")</f>
        <v>3</v>
      </c>
    </row>
    <row r="35" ht="28.5" customHeight="1">
      <c r="A35" s="34" t="inlineStr">
        <is>
          <t>Projection above ABS estimate, 2025</t>
        </is>
      </c>
      <c r="H35" s="37">
        <f>H19/G19-1</f>
        <v>0.215928449744463</v>
      </c>
      <c r="L35" s="30" t="inlineStr">
        <is>
          <t>“Lane Cove's, a three-year average of births per woman, fell from 1.65 in 2018 to 1.47 in 2023 (1.33 in 2024, a figure understated by registration timing), and every one of the six council areas is lower than in 2018.”</t>
        </is>
      </c>
    </row>
    <row r="36" ht="28.5" customHeight="1">
      <c r="A36" s="34" t="inlineStr">
        <is>
          <t>Children aged 0 to 4 (ABS): highest, 2011 to 2025</t>
        </is>
      </c>
      <c r="G36" s="33">
        <f>MAX(G5:G19)</f>
        <v>2653</v>
      </c>
    </row>
    <row r="37">
      <c r="A37" s="34" t="inlineStr">
        <is>
          <t>Year of that high</t>
        </is>
      </c>
      <c r="G37" s="40">
        <f>INDEX(A5:A19,MATCH(G36,G5:G19,0))</f>
        <v>2019</v>
      </c>
    </row>
    <row r="38" ht="28.5" customHeight="1">
      <c r="A38" s="34" t="inlineStr">
        <is>
          <t>Children aged 0 to 4 (ABS): lowest, 2016 to 2020</t>
        </is>
      </c>
      <c r="G38" s="33">
        <f>MIN(G10:G14)</f>
        <v>2558</v>
      </c>
    </row>
    <row r="39" ht="28.5" customHeight="1">
      <c r="A39" s="34" t="inlineStr">
        <is>
          <t>Children aged 0 to 4 (ABS): highest, 2016 to 2020</t>
        </is>
      </c>
      <c r="G39" s="33">
        <f>MAX(G10:G14)</f>
        <v>2653</v>
      </c>
      <c r="L39" s="30" t="inlineStr">
        <is>
          <t>“Births registered to Lane Cove residents have fallen every year since 2021.”</t>
        </is>
      </c>
    </row>
    <row r="40"/>
    <row r="41">
      <c r="L41" s="30" t="inlineStr">
        <is>
          <t>“Those children are not yet old enough for school: a child born in 2024 starts kindergarten in 2029 or 2030.”</t>
        </is>
      </c>
    </row>
    <row r="42"/>
    <row r="43"/>
    <row r="44">
      <c r="L44" s="30" t="inlineStr">
        <is>
          <t>From an earlier draft of the article, now only in this workbook: “A child born in 2024 starts kindergarten in 2029 or 2030, and children born from 2022 onwards turn five in 2027 or later, so the classrooms have not yet felt this part.”</t>
        </is>
      </c>
    </row>
    <row r="45"/>
    <row r="46"/>
    <row r="47"/>
    <row r="48">
      <c r="L48" s="27" t="inlineStr">
        <is>
          <t>How the figures are worked out</t>
        </is>
      </c>
    </row>
    <row r="49">
      <c r="L49" s="3" t="inlineStr">
        <is>
          <t>Births are counted by year of registration, not year of birth, and by the mother's council area of residence. NSW registration timing depressed 2014, 2016 and 2017, inflated 2018 and understated 2024.</t>
        </is>
      </c>
    </row>
    <row r="50"/>
    <row r="51"/>
    <row r="52"/>
    <row r="53">
      <c r="L53" s="3" t="inlineStr">
        <is>
          <t>Each kindergarten year is set against births registered five years earlier. A child can start kindergarten in the year they turn five (if born by 31 July) or the year after, so each birth year feeds two kindergarten years.</t>
        </is>
      </c>
    </row>
    <row r="54"/>
    <row r="55"/>
    <row r="56"/>
    <row r="57">
      <c r="L57" s="4" t="inlineStr">
        <is>
          <t>Fertility rates for council areas are ABS three-year averages: 2024 is the average for 2022 to 2024.</t>
        </is>
      </c>
    </row>
    <row r="58"/>
    <row r="59"/>
    <row r="60">
      <c r="L60" s="4" t="inlineStr">
        <is>
          <t>Children aged 0 to 4 are ABS estimates at 30 June; estimates after 2021 will be revised after the 2026 Census. The NSW projection is the 2024 release. Births for 2025 arrive with ABS Births 2025 on 6 November 2026.</t>
        </is>
      </c>
    </row>
    <row r="61"/>
    <row r="62"/>
    <row r="63"/>
    <row r="64">
      <c r="L64" s="3" t="inlineStr">
        <is>
          <t>From an earlier draft of the article, now only in this workbook: "Births are counted in the year they are registered, not the year they happen, which makes 2018 look high and 2024 look low, so the two ends overstate the fall."</t>
        </is>
      </c>
    </row>
    <row r="65"/>
    <row r="66"/>
    <row r="67"/>
    <row r="68">
      <c r="L68" s="27" t="inlineStr">
        <is>
          <t>Sources</t>
        </is>
      </c>
    </row>
    <row r="69">
      <c r="L69" s="42" t="inlineStr">
        <is>
          <t>ABS Births, Australia 2024: births and fertility by local government area (33010DC03)</t>
        </is>
      </c>
    </row>
    <row r="70">
      <c r="L70" s="42" t="inlineStr">
        <is>
          <t>ABS Regional population by age and sex 2025 (32350DS0006)</t>
        </is>
      </c>
    </row>
    <row r="71">
      <c r="L71" s="42" t="inlineStr">
        <is>
          <t>NSW Department of Planning, Housing and Infrastructure: 2024 population projections</t>
        </is>
      </c>
    </row>
    <row r="72">
      <c r="L72" s="42" t="inlineStr">
        <is>
          <t>NSW Department of Education: starting school</t>
        </is>
      </c>
    </row>
  </sheetData>
  <mergeCells count="16">
    <mergeCell ref="L26:L27"/>
    <mergeCell ref="L35:L37"/>
    <mergeCell ref="L57:L58"/>
    <mergeCell ref="L44:L46"/>
    <mergeCell ref="L7:L9"/>
    <mergeCell ref="L53:L55"/>
    <mergeCell ref="L64:L66"/>
    <mergeCell ref="L32:L33"/>
    <mergeCell ref="L16:L18"/>
    <mergeCell ref="L41:L42"/>
    <mergeCell ref="L20:L21"/>
    <mergeCell ref="L29:L30"/>
    <mergeCell ref="L60:L62"/>
    <mergeCell ref="L23:L24"/>
    <mergeCell ref="L11:L12"/>
    <mergeCell ref="L49:L51"/>
  </mergeCells>
  <hyperlinks>
    <hyperlink xmlns:r="http://schemas.openxmlformats.org/officeDocument/2006/relationships" ref="A2" r:id="rId1"/>
    <hyperlink xmlns:r="http://schemas.openxmlformats.org/officeDocument/2006/relationships" ref="L57" r:id="rId2"/>
    <hyperlink xmlns:r="http://schemas.openxmlformats.org/officeDocument/2006/relationships" ref="L60" r:id="rId3"/>
    <hyperlink xmlns:r="http://schemas.openxmlformats.org/officeDocument/2006/relationships" ref="L69" r:id="rId4"/>
    <hyperlink xmlns:r="http://schemas.openxmlformats.org/officeDocument/2006/relationships" ref="L70" r:id="rId5"/>
    <hyperlink xmlns:r="http://schemas.openxmlformats.org/officeDocument/2006/relationships" ref="L71" r:id="rId6"/>
    <hyperlink xmlns:r="http://schemas.openxmlformats.org/officeDocument/2006/relationships" ref="L72" r:id="rId7"/>
  </hyperlinks>
  <printOptions gridLines="0"/>
  <pageMargins left="0.75" right="0.75" top="1" bottom="1" header="0.5" footer="0.5"/>
  <pageSetup orientation="landscape" paperSize="9" fitToHeight="0" fitToWidth="1"/>
</worksheet>
</file>

<file path=xl/worksheets/sheet24.xml><?xml version="1.0" encoding="utf-8"?>
<worksheet xmlns="http://schemas.openxmlformats.org/spreadsheetml/2006/main">
  <sheetPr>
    <outlinePr summaryBelow="1" summaryRight="1"/>
    <pageSetUpPr fitToPage="1"/>
  </sheetPr>
  <dimension ref="A1:M69"/>
  <sheetViews>
    <sheetView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3" customWidth="1" min="12" max="12"/>
    <col width="95" customWidth="1" min="13" max="13"/>
  </cols>
  <sheetData>
    <row r="1">
      <c r="A1" s="7" t="inlineStr">
        <is>
          <t>Kindergarten at the five schools: what the next four years could look like</t>
        </is>
      </c>
    </row>
    <row r="2">
      <c r="A2" s="8" t="inlineStr">
        <is>
          <t>Our arithmetic, not an official forecast. Every child who starts kindergarten up to 2029 has already been born.</t>
        </is>
      </c>
    </row>
    <row r="3"/>
    <row r="4">
      <c r="A4" s="26" t="inlineStr">
        <is>
          <t>Year</t>
        </is>
      </c>
      <c r="B4" s="26" t="inlineStr">
        <is>
          <t>Kindergarten, five schools (ACARA)</t>
        </is>
      </c>
      <c r="C4" s="26" t="inlineStr">
        <is>
          <t>Children aged 0-4 living here five years earlier (ABS)</t>
        </is>
      </c>
      <c r="D4" s="26" t="inlineStr">
        <is>
          <t>Children aged 5-9 living here (ABS)</t>
        </is>
      </c>
      <c r="E4" s="26" t="inlineStr">
        <is>
          <t>Stay rate: 5-9s now per under-five five years earlier</t>
        </is>
      </c>
      <c r="F4" s="26" t="inlineStr">
        <is>
          <t>Net children gone (under-fives then minus 5-9s now; negative = more arrived than left)</t>
        </is>
      </c>
      <c r="G4" s="26" t="inlineStr">
        <is>
          <t>Kindergarten starters per 1,000 children aged 5-9 living here</t>
        </is>
      </c>
      <c r="H4" s="26" t="inlineStr">
        <is>
          <t>Births registered six years earlier (ABS)</t>
        </is>
      </c>
      <c r="I4" s="26" t="inlineStr">
        <is>
          <t>Births registered five years earlier (ABS)</t>
        </is>
      </c>
      <c r="J4" s="26" t="inlineStr">
        <is>
          <t>Average of the two birth years (a class spans two)</t>
        </is>
      </c>
      <c r="K4" s="26" t="inlineStr">
        <is>
          <t>Kindergarten per birth (two-year average)</t>
        </is>
      </c>
      <c r="M4" s="27" t="inlineStr">
        <is>
          <t>In the article</t>
        </is>
      </c>
    </row>
    <row r="5">
      <c r="A5" s="31" t="n">
        <v>2016</v>
      </c>
      <c r="B5" s="32" t="n">
        <v>443</v>
      </c>
      <c r="C5" s="32" t="n">
        <v>2266</v>
      </c>
      <c r="D5" s="32" t="n">
        <v>2261</v>
      </c>
      <c r="E5" s="54">
        <f>D5/C5</f>
        <v>0.997793468667255</v>
      </c>
      <c r="F5" s="38">
        <f>C5-D5</f>
        <v>5</v>
      </c>
      <c r="G5" s="44">
        <f>1000*B5/D5</f>
        <v>195.93100398054</v>
      </c>
      <c r="M5" s="30" t="inlineStr">
        <is>
          <t>“If today's rates hold, our projection has kindergarten at about 360 by 2029.”</t>
        </is>
      </c>
    </row>
    <row r="6">
      <c r="A6" s="31" t="n">
        <v>2017</v>
      </c>
      <c r="B6" s="32" t="n">
        <v>502</v>
      </c>
      <c r="C6" s="32" t="n">
        <v>2280</v>
      </c>
      <c r="D6" s="32" t="n">
        <v>2377</v>
      </c>
      <c r="E6" s="54">
        <f>D6/C6</f>
        <v>1.04254385964912</v>
      </c>
      <c r="F6" s="38">
        <f>C6-D6</f>
        <v>-97</v>
      </c>
      <c r="G6" s="44">
        <f>1000*B6/D6</f>
        <v>211.190576356752</v>
      </c>
      <c r="H6" s="32" t="n">
        <v>448</v>
      </c>
      <c r="I6" s="32" t="n">
        <v>472</v>
      </c>
      <c r="J6" s="44">
        <f>(H6+I6)/2</f>
        <v>460</v>
      </c>
      <c r="K6" s="54">
        <f>B6/J6</f>
        <v>1.09130434782609</v>
      </c>
    </row>
    <row r="7">
      <c r="A7" s="31" t="n">
        <v>2018</v>
      </c>
      <c r="B7" s="32" t="n">
        <v>518</v>
      </c>
      <c r="C7" s="32" t="n">
        <v>2278</v>
      </c>
      <c r="D7" s="32" t="n">
        <v>2469</v>
      </c>
      <c r="E7" s="54">
        <f>D7/C7</f>
        <v>1.0838454784899</v>
      </c>
      <c r="F7" s="38">
        <f>C7-D7</f>
        <v>-191</v>
      </c>
      <c r="G7" s="44">
        <f>1000*B7/D7</f>
        <v>209.80153908465</v>
      </c>
      <c r="H7" s="32" t="n">
        <v>472</v>
      </c>
      <c r="I7" s="32" t="n">
        <v>478</v>
      </c>
      <c r="J7" s="44">
        <f>(H7+I7)/2</f>
        <v>475</v>
      </c>
      <c r="K7" s="54">
        <f>B7/J7</f>
        <v>1.09052631578947</v>
      </c>
      <c r="M7" s="30" t="inlineStr">
        <is>
          <t>From an earlier draft of the article, now only in this workbook: “If today's rates hold, kindergarten falls to about 360 by 2029 (somewhere between 310 and 410).”</t>
        </is>
      </c>
    </row>
    <row r="8">
      <c r="A8" s="31" t="n">
        <v>2019</v>
      </c>
      <c r="B8" s="32" t="n">
        <v>512</v>
      </c>
      <c r="C8" s="32" t="n">
        <v>2334</v>
      </c>
      <c r="D8" s="32" t="n">
        <v>2495</v>
      </c>
      <c r="E8" s="54">
        <f>D8/C8</f>
        <v>1.06898029134533</v>
      </c>
      <c r="F8" s="38">
        <f>C8-D8</f>
        <v>-161</v>
      </c>
      <c r="G8" s="44">
        <f>1000*B8/D8</f>
        <v>205.210420841683</v>
      </c>
      <c r="H8" s="32" t="n">
        <v>478</v>
      </c>
      <c r="I8" s="32" t="n">
        <v>433</v>
      </c>
      <c r="J8" s="44">
        <f>(H8+I8)/2</f>
        <v>455.5</v>
      </c>
      <c r="K8" s="54">
        <f>B8/J8</f>
        <v>1.12403951701427</v>
      </c>
    </row>
    <row r="9">
      <c r="A9" s="31" t="n">
        <v>2020</v>
      </c>
      <c r="B9" s="32" t="n">
        <v>466</v>
      </c>
      <c r="C9" s="32" t="n">
        <v>2398</v>
      </c>
      <c r="D9" s="32" t="n">
        <v>2500</v>
      </c>
      <c r="E9" s="54">
        <f>D9/C9</f>
        <v>1.04253544620517</v>
      </c>
      <c r="F9" s="38">
        <f>C9-D9</f>
        <v>-102</v>
      </c>
      <c r="G9" s="44">
        <f>1000*B9/D9</f>
        <v>186.4</v>
      </c>
      <c r="H9" s="32" t="n">
        <v>433</v>
      </c>
      <c r="I9" s="32" t="n">
        <v>516</v>
      </c>
      <c r="J9" s="44">
        <f>(H9+I9)/2</f>
        <v>474.5</v>
      </c>
      <c r="K9" s="54">
        <f>B9/J9</f>
        <v>0.982086406743941</v>
      </c>
    </row>
    <row r="10">
      <c r="A10" s="31" t="n">
        <v>2021</v>
      </c>
      <c r="B10" s="32" t="n">
        <v>514</v>
      </c>
      <c r="C10" s="32" t="n">
        <v>2607</v>
      </c>
      <c r="D10" s="32" t="n">
        <v>2519</v>
      </c>
      <c r="E10" s="54">
        <f>D10/C10</f>
        <v>0.966244725738397</v>
      </c>
      <c r="F10" s="38">
        <f>C10-D10</f>
        <v>88</v>
      </c>
      <c r="G10" s="44">
        <f>1000*B10/D10</f>
        <v>204.049225883287</v>
      </c>
      <c r="H10" s="32" t="n">
        <v>516</v>
      </c>
      <c r="I10" s="32" t="n">
        <v>546</v>
      </c>
      <c r="J10" s="44">
        <f>(H10+I10)/2</f>
        <v>531</v>
      </c>
      <c r="K10" s="54">
        <f>B10/J10</f>
        <v>0.967984934086629</v>
      </c>
      <c r="M10" s="30" t="inlineStr">
        <is>
          <t>“If the moving and enrolment patterns of the last few years continue, kindergarten at the five schools stays around 395 for the next two years, then falls to about 360 by 2029.”</t>
        </is>
      </c>
    </row>
    <row r="11">
      <c r="A11" s="31" t="n">
        <v>2022</v>
      </c>
      <c r="B11" s="32" t="n">
        <v>444</v>
      </c>
      <c r="C11" s="32" t="n">
        <v>2650</v>
      </c>
      <c r="D11" s="32" t="n">
        <v>2424</v>
      </c>
      <c r="E11" s="54">
        <f>D11/C11</f>
        <v>0.914716981132075</v>
      </c>
      <c r="F11" s="38">
        <f>C11-D11</f>
        <v>226</v>
      </c>
      <c r="G11" s="44">
        <f>1000*B11/D11</f>
        <v>183.168316831683</v>
      </c>
      <c r="H11" s="32" t="n">
        <v>546</v>
      </c>
      <c r="I11" s="32" t="n">
        <v>533</v>
      </c>
      <c r="J11" s="44">
        <f>(H11+I11)/2</f>
        <v>539.5</v>
      </c>
      <c r="K11" s="54">
        <f>B11/J11</f>
        <v>0.822984244670992</v>
      </c>
    </row>
    <row r="12">
      <c r="A12" s="31" t="n">
        <v>2023</v>
      </c>
      <c r="B12" s="32" t="n">
        <v>426</v>
      </c>
      <c r="C12" s="32" t="n">
        <v>2633</v>
      </c>
      <c r="D12" s="32" t="n">
        <v>2403</v>
      </c>
      <c r="E12" s="54">
        <f>D12/C12</f>
        <v>0.912647170527915</v>
      </c>
      <c r="F12" s="38">
        <f>C12-D12</f>
        <v>230</v>
      </c>
      <c r="G12" s="44">
        <f>1000*B12/D12</f>
        <v>177.278401997503</v>
      </c>
      <c r="H12" s="32" t="n">
        <v>533</v>
      </c>
      <c r="I12" s="32" t="n">
        <v>598</v>
      </c>
      <c r="J12" s="44">
        <f>(H12+I12)/2</f>
        <v>565.5</v>
      </c>
      <c r="K12" s="54">
        <f>B12/J12</f>
        <v>0.753315649867374</v>
      </c>
    </row>
    <row r="13">
      <c r="A13" s="31" t="n">
        <v>2024</v>
      </c>
      <c r="B13" s="32" t="n">
        <v>417</v>
      </c>
      <c r="C13" s="32" t="n">
        <v>2653</v>
      </c>
      <c r="D13" s="32" t="n">
        <v>2392</v>
      </c>
      <c r="E13" s="54">
        <f>D13/C13</f>
        <v>0.901620806633999</v>
      </c>
      <c r="F13" s="38">
        <f>C13-D13</f>
        <v>261</v>
      </c>
      <c r="G13" s="44">
        <f>1000*B13/D13</f>
        <v>174.33110367893</v>
      </c>
      <c r="H13" s="32" t="n">
        <v>598</v>
      </c>
      <c r="I13" s="32" t="n">
        <v>564</v>
      </c>
      <c r="J13" s="44">
        <f>(H13+I13)/2</f>
        <v>581</v>
      </c>
      <c r="K13" s="54">
        <f>B13/J13</f>
        <v>0.717728055077453</v>
      </c>
      <c r="M13" s="30" t="inlineStr">
        <is>
          <t>“about 90 children aged five to nine live here for every 100 under-fives five years earlier, because more young children move out than in”</t>
        </is>
      </c>
    </row>
    <row r="14">
      <c r="A14" s="31" t="n">
        <v>2025</v>
      </c>
      <c r="B14" s="32" t="n">
        <v>395</v>
      </c>
      <c r="C14" s="32" t="n">
        <v>2558</v>
      </c>
      <c r="D14" s="32" t="n">
        <v>2304</v>
      </c>
      <c r="E14" s="54">
        <f>D14/C14</f>
        <v>0.900703674745895</v>
      </c>
      <c r="F14" s="38">
        <f>C14-D14</f>
        <v>254</v>
      </c>
      <c r="G14" s="44">
        <f>1000*B14/D14</f>
        <v>171.440972222222</v>
      </c>
      <c r="H14" s="32" t="n">
        <v>564</v>
      </c>
      <c r="I14" s="32" t="n">
        <v>533</v>
      </c>
      <c r="J14" s="44">
        <f>(H14+I14)/2</f>
        <v>548.5</v>
      </c>
      <c r="K14" s="54">
        <f>B14/J14</f>
        <v>0.720145852324521</v>
      </c>
    </row>
    <row r="15"/>
    <row r="16">
      <c r="A16" s="26" t="inlineStr">
        <is>
          <t>Rates used</t>
        </is>
      </c>
      <c r="M16" s="30" t="inlineStr">
        <is>
          <t>“the five schools take 174 kindergarten children for every 1,000 of those five-to-nine-year-olds”</t>
        </is>
      </c>
    </row>
    <row r="17" ht="28.5" customHeight="1">
      <c r="A17" s="34" t="inlineStr">
        <is>
          <t>Stay rate, now (2023-25 average)</t>
        </is>
      </c>
      <c r="E17" s="54">
        <f>AVERAGE(E12:E14)</f>
        <v>0.904990550635937</v>
      </c>
    </row>
    <row r="18" ht="28.5" customHeight="1">
      <c r="A18" s="34" t="inlineStr">
        <is>
          <t>Stay rate, before (2016-19 average)</t>
        </is>
      </c>
      <c r="E18" s="54">
        <f>AVERAGE(E5:E8)</f>
        <v>1.0482907745379</v>
      </c>
    </row>
    <row r="19" ht="28.5" customHeight="1">
      <c r="A19" s="34" t="inlineStr">
        <is>
          <t>Starters per 1,000, now (2023-25 average)</t>
        </is>
      </c>
      <c r="E19" s="44">
        <f>AVERAGE(G12:G14)</f>
        <v>174.350159299552</v>
      </c>
      <c r="M19" s="30" t="inlineStr">
        <is>
          <t>“On those assumptions, kindergarten at the five schools stays at about 395 in 2026 and 2027, then falls to about 360 by 2029.”</t>
        </is>
      </c>
    </row>
    <row r="20" ht="28.5" customHeight="1">
      <c r="A20" s="34" t="inlineStr">
        <is>
          <t>Starters per 1,000, before (2016-19 average)</t>
        </is>
      </c>
      <c r="E20" s="44">
        <f>AVERAGE(G5:G8)</f>
        <v>205.533385065906</v>
      </c>
    </row>
    <row r="21" ht="28.5" customHeight="1">
      <c r="A21" s="34" t="inlineStr">
        <is>
          <t>Kindergarten per birth, now (2023-25 average)</t>
        </is>
      </c>
      <c r="E21" s="54">
        <f>AVERAGE(K12:K14)</f>
        <v>0.730396519089783</v>
      </c>
    </row>
    <row r="22" ht="41.25" customHeight="1">
      <c r="A22" s="34" t="inlineStr">
        <is>
          <t>Starters per 1,000, change per year (2016-25 straight-line trend)</t>
        </is>
      </c>
      <c r="E22" s="56">
        <f>SLOPE(G5:G14,A5:A14)</f>
        <v>-4.17890524940642</v>
      </c>
      <c r="M22" s="30" t="inlineStr">
        <is>
          <t>“This is our arithmetic, not a forecast: the same calculation done in 2020 would have overestimated every kindergarten intake since.”</t>
        </is>
      </c>
    </row>
    <row r="23" ht="28.5" customHeight="1">
      <c r="A23" s="34" t="inlineStr">
        <is>
          <t>Stay rate now, per 100 (as the article states it)</t>
        </is>
      </c>
      <c r="E23" s="44">
        <f>100*$E$17</f>
        <v>90.4990550635936</v>
      </c>
    </row>
    <row r="24"/>
    <row r="25">
      <c r="M25" s="30" t="inlineStr">
        <is>
          <t>From an earlier draft of the article, now only in this workbook: “If starters per 1,000 keep falling at their pace since 2016, it would be nearer 310; if they recover at that pace, about 410.”</t>
        </is>
      </c>
    </row>
    <row r="26">
      <c r="A26" s="26" t="inlineStr">
        <is>
          <t>Projection</t>
        </is>
      </c>
    </row>
    <row r="27">
      <c r="A27" s="26" t="inlineStr">
        <is>
          <t>Year</t>
        </is>
      </c>
      <c r="B27" s="26" t="inlineStr">
        <is>
          <t>Children aged 0-4 five years earlier (ABS)</t>
        </is>
      </c>
      <c r="C27" s="26" t="inlineStr">
        <is>
          <t>Births registered six years earlier (ABS)</t>
        </is>
      </c>
      <c r="D27" s="26" t="inlineStr">
        <is>
          <t>Births registered five years earlier (ABS)</t>
        </is>
      </c>
      <c r="E27" s="26" t="inlineStr">
        <is>
          <t>Average of the two birth years</t>
        </is>
      </c>
      <c r="F27" s="26" t="inlineStr">
        <is>
          <t>Method A: population (0-4 x stay rate x starters / 1,000)</t>
        </is>
      </c>
      <c r="G27" s="26" t="inlineStr">
        <is>
          <t>Method B: births (birth average x kindergarten per birth)</t>
        </is>
      </c>
      <c r="H27" s="26" t="inlineStr">
        <is>
          <t>Central: if today's rates hold (average of A and B; the chart's dashed line)</t>
        </is>
      </c>
      <c r="I27" s="26" t="inlineStr">
        <is>
          <t>Lower: starters keep falling at their 2016-25 pace, stay rate held (from the lower of A and B)</t>
        </is>
      </c>
      <c r="J27" s="26" t="inlineStr">
        <is>
          <t>Upper: starters recover at that pace, stay rate held (from the higher of A and B)</t>
        </is>
      </c>
    </row>
    <row r="28">
      <c r="A28" s="31" t="n">
        <v>2026</v>
      </c>
      <c r="B28" s="32" t="n">
        <v>2423</v>
      </c>
      <c r="C28" s="32" t="n">
        <v>533</v>
      </c>
      <c r="D28" s="32" t="n">
        <v>573</v>
      </c>
      <c r="E28" s="44">
        <f>(C28+D28)/2</f>
        <v>553</v>
      </c>
      <c r="F28" s="33">
        <f>ROUND(B28*$E$17*$E$19/1000,0)</f>
        <v>382</v>
      </c>
      <c r="G28" s="33">
        <f>ROUND(E28*$E$21,0)</f>
        <v>404</v>
      </c>
      <c r="H28" s="44">
        <f>AVERAGE(F28,G28)</f>
        <v>393</v>
      </c>
      <c r="I28" s="33">
        <f>ROUND(MIN(F28,G28)*(($E$19+$E$22*(A28-2025))/$E$19),0)</f>
        <v>373</v>
      </c>
      <c r="J28" s="33">
        <f>ROUND(MAX(F28,G28)*(($E$19-$E$22*(A28-2025))/$E$19),0)</f>
        <v>414</v>
      </c>
    </row>
    <row r="29">
      <c r="A29" s="31" t="n">
        <v>2027</v>
      </c>
      <c r="B29" s="32" t="n">
        <v>2417</v>
      </c>
      <c r="C29" s="32" t="n">
        <v>573</v>
      </c>
      <c r="D29" s="32" t="n">
        <v>541</v>
      </c>
      <c r="E29" s="44">
        <f>(C29+D29)/2</f>
        <v>557</v>
      </c>
      <c r="F29" s="33">
        <f>ROUND(B29*$E$17*$E$19/1000,0)</f>
        <v>381</v>
      </c>
      <c r="G29" s="33">
        <f>ROUND(E29*$E$21,0)</f>
        <v>407</v>
      </c>
      <c r="H29" s="44">
        <f>AVERAGE(F29,G29)</f>
        <v>394</v>
      </c>
      <c r="I29" s="33">
        <f>ROUND(MIN(F29,G29)*(($E$19+$E$22*(A29-2025))/$E$19),0)</f>
        <v>363</v>
      </c>
      <c r="J29" s="33">
        <f>ROUND(MAX(F29,G29)*(($E$19-$E$22*(A29-2025))/$E$19),0)</f>
        <v>427</v>
      </c>
      <c r="M29" s="27" t="inlineStr">
        <is>
          <t>How the figures are worked out</t>
        </is>
      </c>
    </row>
    <row r="30">
      <c r="A30" s="31" t="n">
        <v>2028</v>
      </c>
      <c r="B30" s="32" t="n">
        <v>2364</v>
      </c>
      <c r="C30" s="32" t="n">
        <v>541</v>
      </c>
      <c r="D30" s="32" t="n">
        <v>494</v>
      </c>
      <c r="E30" s="44">
        <f>(C30+D30)/2</f>
        <v>517.5</v>
      </c>
      <c r="F30" s="33">
        <f>ROUND(B30*$E$17*$E$19/1000,0)</f>
        <v>373</v>
      </c>
      <c r="G30" s="33">
        <f>ROUND(E30*$E$21,0)</f>
        <v>378</v>
      </c>
      <c r="H30" s="44">
        <f>AVERAGE(F30,G30)</f>
        <v>375.5</v>
      </c>
      <c r="I30" s="33">
        <f>ROUND(MIN(F30,G30)*(($E$19+$E$22*(A30-2025))/$E$19),0)</f>
        <v>346</v>
      </c>
      <c r="J30" s="33">
        <f>ROUND(MAX(F30,G30)*(($E$19-$E$22*(A30-2025))/$E$19),0)</f>
        <v>405</v>
      </c>
      <c r="M30" s="3" t="inlineStr">
        <is>
          <t>Kindergarten = children aged 5-9 living here x starters per 1,000 (method A), or births behind the class x kindergarten per birth (method B). A class spans two birth years, so method B uses their average.</t>
        </is>
      </c>
    </row>
    <row r="31">
      <c r="A31" s="31" t="n">
        <v>2029</v>
      </c>
      <c r="B31" s="32" t="n">
        <v>2368</v>
      </c>
      <c r="C31" s="32" t="n">
        <v>494</v>
      </c>
      <c r="D31" s="32" t="n">
        <v>450</v>
      </c>
      <c r="E31" s="44">
        <f>(C31+D31)/2</f>
        <v>472</v>
      </c>
      <c r="F31" s="33">
        <f>ROUND(B31*$E$17*$E$19/1000,0)</f>
        <v>374</v>
      </c>
      <c r="G31" s="33">
        <f>ROUND(E31*$E$21,0)</f>
        <v>345</v>
      </c>
      <c r="H31" s="44">
        <f>AVERAGE(F31,G31)</f>
        <v>359.5</v>
      </c>
      <c r="I31" s="33">
        <f>ROUND(MIN(F31,G31)*(($E$19+$E$22*(A31-2025))/$E$19),0)</f>
        <v>312</v>
      </c>
      <c r="J31" s="33">
        <f>ROUND(MAX(F31,G31)*(($E$19-$E$22*(A31-2025))/$E$19),0)</f>
        <v>410</v>
      </c>
    </row>
    <row r="32"/>
    <row r="33"/>
    <row r="34" ht="41.25" customHeight="1">
      <c r="A34" s="26" t="inlineStr">
        <is>
          <t>Back-test: both methods run as if in 2020 (rates averaged over 2018-20)</t>
        </is>
      </c>
      <c r="M34" s="3" t="inlineStr">
        <is>
          <t>The central figure averages the two methods (the chart's dashed line). Because it averages them, it does not equal the two held rates multiplied through: the population method alone is column F of the projection.</t>
        </is>
      </c>
    </row>
    <row r="35">
      <c r="A35" s="26" t="inlineStr">
        <is>
          <t>Year</t>
        </is>
      </c>
      <c r="B35" s="26" t="inlineStr">
        <is>
          <t>Method A from 2020</t>
        </is>
      </c>
      <c r="C35" s="26" t="inlineStr">
        <is>
          <t>Method B from 2020</t>
        </is>
      </c>
      <c r="D35" s="26" t="inlineStr">
        <is>
          <t>Actual kindergarten</t>
        </is>
      </c>
      <c r="E35" s="26" t="inlineStr">
        <is>
          <t>Over by (A)</t>
        </is>
      </c>
      <c r="F35" s="26" t="inlineStr">
        <is>
          <t>Over by (B)</t>
        </is>
      </c>
    </row>
    <row r="36">
      <c r="A36" s="31" t="n">
        <v>2021</v>
      </c>
      <c r="B36" s="33">
        <f>ROUND(C10*AVERAGE(E7:E9)*AVERAGE(G7:G9)/1000,0)</f>
        <v>557</v>
      </c>
      <c r="C36" s="33">
        <f>ROUND(J10*AVERAGE(K7:K9),0)</f>
        <v>566</v>
      </c>
      <c r="D36" s="33">
        <f>B10</f>
        <v>514</v>
      </c>
      <c r="E36" s="38">
        <f>B36-D36</f>
        <v>43</v>
      </c>
      <c r="F36" s="38">
        <f>C36-D36</f>
        <v>52</v>
      </c>
    </row>
    <row r="37">
      <c r="A37" s="31" t="n">
        <v>2022</v>
      </c>
      <c r="B37" s="33">
        <f>ROUND(C11*AVERAGE(E7:E9)*AVERAGE(G7:G9)/1000,0)</f>
        <v>566</v>
      </c>
      <c r="C37" s="33">
        <f>ROUND(J11*AVERAGE(K7:K9),0)</f>
        <v>575</v>
      </c>
      <c r="D37" s="33">
        <f>B11</f>
        <v>444</v>
      </c>
      <c r="E37" s="38">
        <f>B37-D37</f>
        <v>122</v>
      </c>
      <c r="F37" s="38">
        <f>C37-D37</f>
        <v>131</v>
      </c>
    </row>
    <row r="38">
      <c r="A38" s="31" t="n">
        <v>2023</v>
      </c>
      <c r="B38" s="33">
        <f>ROUND(C12*AVERAGE(E7:E9)*AVERAGE(G7:G9)/1000,0)</f>
        <v>562</v>
      </c>
      <c r="C38" s="33">
        <f>ROUND(J12*AVERAGE(K7:K9),0)</f>
        <v>603</v>
      </c>
      <c r="D38" s="33">
        <f>B12</f>
        <v>426</v>
      </c>
      <c r="E38" s="38">
        <f>B38-D38</f>
        <v>136</v>
      </c>
      <c r="F38" s="38">
        <f>C38-D38</f>
        <v>177</v>
      </c>
      <c r="M38" s="3" t="inlineStr">
        <is>
          <t>The lower and upper cases are the range shaded on the chart. Both hold the stay rate at today's level and move starters per 1,000 by its 2016-25 pace, about 4 a year, down or up. They start from the lower and higher method respectively, so they take in the gap between the methods. The upper case reaches about 190 per 1,000 by 2029, still below the 2016-19 level of 206; the lower reaches about 158.</t>
        </is>
      </c>
    </row>
    <row r="39">
      <c r="A39" s="31" t="n">
        <v>2024</v>
      </c>
      <c r="B39" s="33">
        <f>ROUND(C13*AVERAGE(E7:E9)*AVERAGE(G7:G9)/1000,0)</f>
        <v>566</v>
      </c>
      <c r="C39" s="33">
        <f>ROUND(J13*AVERAGE(K7:K9),0)</f>
        <v>619</v>
      </c>
      <c r="D39" s="33">
        <f>B13</f>
        <v>417</v>
      </c>
      <c r="E39" s="38">
        <f>B39-D39</f>
        <v>149</v>
      </c>
      <c r="F39" s="38">
        <f>C39-D39</f>
        <v>202</v>
      </c>
    </row>
    <row r="40">
      <c r="A40" s="31" t="n">
        <v>2025</v>
      </c>
      <c r="B40" s="33">
        <f>ROUND(C14*AVERAGE(E7:E9)*AVERAGE(G7:G9)/1000,0)</f>
        <v>546</v>
      </c>
      <c r="C40" s="33">
        <f>ROUND(J14*AVERAGE(K7:K9),0)</f>
        <v>584</v>
      </c>
      <c r="D40" s="33">
        <f>B14</f>
        <v>395</v>
      </c>
      <c r="E40" s="38">
        <f>B40-D40</f>
        <v>151</v>
      </c>
      <c r="F40" s="38">
        <f>C40-D40</f>
        <v>189</v>
      </c>
    </row>
    <row r="41" ht="28.5" customHeight="1">
      <c r="A41" s="34" t="inlineStr">
        <is>
          <t>Years both methods overestimated (of 5)</t>
        </is>
      </c>
      <c r="E41" s="33">
        <f>SUMPRODUCT((E36:E40&gt;0)*(F36:F40&gt;0))</f>
        <v>5</v>
      </c>
    </row>
    <row r="42"/>
    <row r="43"/>
    <row r="44">
      <c r="M44" s="3" t="inlineStr">
        <is>
          <t>Both cases assume children keep leaving at today's rate, steady for four years. If it fell again as it did in 2017-21, the 2029 lower figure would be nearer 285.</t>
        </is>
      </c>
    </row>
    <row r="45"/>
    <row r="46"/>
    <row r="47">
      <c r="M47" s="3" t="inlineStr">
        <is>
          <t>The back-test runs both methods from 2020, at the peak of the years when more young children were arriving than leaving. Both overestimate every year since, by 43 to 202 children: the rule misses turning points, so read the projection as 'if today's rates hold', not as a forecast.</t>
        </is>
      </c>
    </row>
    <row r="48"/>
    <row r="49"/>
    <row r="50"/>
    <row r="51"/>
    <row r="52">
      <c r="M52" s="3" t="inlineStr">
        <is>
          <t>Births are by year of registration and are not revised: 2024 births registered late will appear as 2025 registrations, so method B's 2029 figure is biased low. ABS Births 2025 is due on 6 November 2026.</t>
        </is>
      </c>
    </row>
    <row r="53"/>
    <row r="54"/>
    <row r="55"/>
    <row r="56">
      <c r="M56" s="4" t="inlineStr">
        <is>
          <t>ABS population estimates after 2021 will be rebased after the 2026 Census (mid-2027); the 2029 figures may move by a few per cent for that reason alone. The ABS council-area table gives five-year age bands only (queried 25 October 2026).</t>
        </is>
      </c>
    </row>
    <row r="57"/>
    <row r="58"/>
    <row r="59"/>
    <row r="60">
      <c r="M60" s="3" t="inlineStr">
        <is>
          <t>Mowbray's catchment reaches into Willoughby, so starters per 1,000 counts some children from outside Lane Cove; it is not a share. From 2027 Mowbray's catchment also takes in 150 Epping Road, not modelled.</t>
        </is>
      </c>
    </row>
    <row r="61"/>
    <row r="62"/>
    <row r="63"/>
    <row r="64">
      <c r="M64" s="3" t="inlineStr">
        <is>
          <t>Model checked by an independent reviewer four times (arithmetic, method and wording).</t>
        </is>
      </c>
    </row>
    <row r="65"/>
    <row r="66">
      <c r="M66" s="27" t="inlineStr">
        <is>
          <t>Sources</t>
        </is>
      </c>
    </row>
    <row r="67">
      <c r="M67" s="42" t="inlineStr">
        <is>
          <t>ACARA Data Access Program: Enrolments by Grade 2008-2025 and School Locations 2025</t>
        </is>
      </c>
    </row>
    <row r="68">
      <c r="M68" s="42" t="inlineStr">
        <is>
          <t>ABS Births, Australia 2024: births and fertility by local government area (33010DC03)</t>
        </is>
      </c>
    </row>
    <row r="69">
      <c r="M69" s="42" t="inlineStr">
        <is>
          <t>ABS Regional population by age and sex 2025 (32350DS0006)</t>
        </is>
      </c>
    </row>
  </sheetData>
  <mergeCells count="15">
    <mergeCell ref="M34:M36"/>
    <mergeCell ref="M22:M23"/>
    <mergeCell ref="M30:M32"/>
    <mergeCell ref="M44:M45"/>
    <mergeCell ref="M13:M14"/>
    <mergeCell ref="M56:M58"/>
    <mergeCell ref="M19:M20"/>
    <mergeCell ref="M16:M17"/>
    <mergeCell ref="M25:M27"/>
    <mergeCell ref="M38:M42"/>
    <mergeCell ref="M47:M50"/>
    <mergeCell ref="M52:M54"/>
    <mergeCell ref="M60:M62"/>
    <mergeCell ref="M7:M8"/>
    <mergeCell ref="M10:M11"/>
  </mergeCells>
  <hyperlinks>
    <hyperlink xmlns:r="http://schemas.openxmlformats.org/officeDocument/2006/relationships" ref="M56" r:id="rId1"/>
    <hyperlink xmlns:r="http://schemas.openxmlformats.org/officeDocument/2006/relationships" ref="M67" r:id="rId2"/>
    <hyperlink xmlns:r="http://schemas.openxmlformats.org/officeDocument/2006/relationships" ref="M68" r:id="rId3"/>
    <hyperlink xmlns:r="http://schemas.openxmlformats.org/officeDocument/2006/relationships" ref="M69" r:id="rId4"/>
  </hyperlinks>
  <printOptions gridLines="0"/>
  <pageMargins left="0.75" right="0.75" top="1" bottom="1" header="0.5" footer="0.5"/>
  <pageSetup orientation="landscape" paperSize="9" fitToHeight="0" fitToWidth="1"/>
</worksheet>
</file>

<file path=xl/worksheets/sheet25.xml><?xml version="1.0" encoding="utf-8"?>
<worksheet xmlns="http://schemas.openxmlformats.org/spreadsheetml/2006/main">
  <sheetPr>
    <outlinePr summaryBelow="1" summaryRight="1"/>
    <pageSetUpPr fitToPage="1"/>
  </sheetPr>
  <dimension ref="A1:G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2" customWidth="1" min="2" max="2"/>
    <col width="14" customWidth="1" min="3" max="3"/>
    <col width="14" customWidth="1" min="4" max="4"/>
    <col width="12" customWidth="1" min="5" max="5"/>
    <col width="3" customWidth="1" min="6" max="6"/>
    <col width="95" customWidth="1" min="7" max="7"/>
  </cols>
  <sheetData>
    <row r="1">
      <c r="A1" s="7" t="inlineStr">
        <is>
          <t>Births to Lane Cove residents by financial year, 2021-22 to 2024-25</t>
        </is>
      </c>
    </row>
    <row r="2">
      <c r="A2" s="25" t="inlineStr">
        <is>
          <t>ABS Regional population 2024-25, population components by council area. 2024-25 is preliminary.</t>
        </is>
      </c>
    </row>
    <row r="3"/>
    <row r="4">
      <c r="A4" s="26" t="inlineStr">
        <is>
          <t>Year to 30 June</t>
        </is>
      </c>
      <c r="B4" s="26" t="inlineStr">
        <is>
          <t>Births</t>
        </is>
      </c>
      <c r="C4" s="26" t="inlineStr">
        <is>
          <t>Status</t>
        </is>
      </c>
      <c r="D4" s="26" t="inlineStr">
        <is>
          <t>Change on the year before</t>
        </is>
      </c>
      <c r="E4" s="26" t="inlineStr">
        <is>
          <t>Change (%)</t>
        </is>
      </c>
      <c r="G4" s="27" t="inlineStr">
        <is>
          <t>How the figures are worked out</t>
        </is>
      </c>
    </row>
    <row r="5">
      <c r="A5" s="34" t="inlineStr">
        <is>
          <t>2021-22</t>
        </is>
      </c>
      <c r="B5" s="32" t="n">
        <v>564</v>
      </c>
      <c r="C5" s="43" t="inlineStr">
        <is>
          <t>revised</t>
        </is>
      </c>
      <c r="D5" s="43" t="n"/>
      <c r="E5" s="43" t="n"/>
      <c r="G5" s="4" t="inlineStr">
        <is>
          <t>This series is by financial year and comes from the ABS population components. It is not the same series as ABS Births, Australia (calendar year, by registration), so the two should not be joined.</t>
        </is>
      </c>
    </row>
    <row r="6">
      <c r="A6" s="34" t="inlineStr">
        <is>
          <t>2022-23</t>
        </is>
      </c>
      <c r="B6" s="32" t="n">
        <v>498</v>
      </c>
      <c r="C6" s="43" t="inlineStr">
        <is>
          <t>revised</t>
        </is>
      </c>
      <c r="D6" s="38">
        <f>B6-B5</f>
        <v>-66</v>
      </c>
      <c r="E6" s="37">
        <f>B6/B5-1</f>
        <v>-0.117021276595745</v>
      </c>
    </row>
    <row r="7">
      <c r="A7" s="34" t="inlineStr">
        <is>
          <t>2023-24</t>
        </is>
      </c>
      <c r="B7" s="32" t="n">
        <v>510</v>
      </c>
      <c r="C7" s="43" t="inlineStr">
        <is>
          <t>revised</t>
        </is>
      </c>
      <c r="D7" s="38">
        <f>B7-B6</f>
        <v>12</v>
      </c>
      <c r="E7" s="37">
        <f>B7/B6-1</f>
        <v>0.0240963855421688</v>
      </c>
    </row>
    <row r="8">
      <c r="A8" s="34" t="inlineStr">
        <is>
          <t>2024-25</t>
        </is>
      </c>
      <c r="B8" s="32" t="n">
        <v>451</v>
      </c>
      <c r="C8" s="43" t="inlineStr">
        <is>
          <t>preliminary</t>
        </is>
      </c>
      <c r="D8" s="38">
        <f>B8-B7</f>
        <v>-59</v>
      </c>
      <c r="E8" s="37">
        <f>B8/B7-1</f>
        <v>-0.115686274509804</v>
      </c>
    </row>
    <row r="9">
      <c r="G9" s="3" t="inlineStr">
        <is>
          <t>2024-25 is preliminary and may be revised. The earlier years are revised figures, as the Status column shows.</t>
        </is>
      </c>
    </row>
    <row r="10"/>
    <row r="11"/>
    <row r="12">
      <c r="G12" s="4" t="inlineStr">
        <is>
          <t>Because the two series count differently (financial year here, calendar year of registration in ABS Births, Australia), their numbers do not match and should not be read as one run.</t>
        </is>
      </c>
    </row>
    <row r="13"/>
    <row r="14"/>
    <row r="15">
      <c r="G15" s="3" t="inlineStr">
        <is>
          <t>Small-area counts swing from year to year, and the figure for all of NSW for the year to June 2025 has already been revised down since it was first published.</t>
        </is>
      </c>
    </row>
    <row r="16"/>
    <row r="17"/>
    <row r="18">
      <c r="G18" s="3" t="inlineStr">
        <is>
          <t>From an earlier draft of the article, now only in this workbook: "It is not the same series as the registrations above, so the two should not be read as one run."</t>
        </is>
      </c>
    </row>
    <row r="19"/>
    <row r="20"/>
    <row r="21">
      <c r="G21" s="27" t="inlineStr">
        <is>
          <t>Sources</t>
        </is>
      </c>
    </row>
    <row r="22">
      <c r="G22" s="42" t="inlineStr">
        <is>
          <t>ABS Regional population 2024-25: population components by council area (ERP_COMP_LGA2025)</t>
        </is>
      </c>
    </row>
    <row r="23">
      <c r="G23" s="42" t="inlineStr">
        <is>
          <t>ABS Births, Australia 2024: births and fertility by local government area (33010DC03)</t>
        </is>
      </c>
    </row>
  </sheetData>
  <mergeCells count="5">
    <mergeCell ref="G9:G10"/>
    <mergeCell ref="G12:G13"/>
    <mergeCell ref="G15:G16"/>
    <mergeCell ref="G5:G7"/>
    <mergeCell ref="G18:G19"/>
  </mergeCells>
  <hyperlinks>
    <hyperlink xmlns:r="http://schemas.openxmlformats.org/officeDocument/2006/relationships" ref="A2" r:id="rId1"/>
    <hyperlink xmlns:r="http://schemas.openxmlformats.org/officeDocument/2006/relationships" ref="G5" r:id="rId2"/>
    <hyperlink xmlns:r="http://schemas.openxmlformats.org/officeDocument/2006/relationships" ref="G12" r:id="rId3"/>
    <hyperlink xmlns:r="http://schemas.openxmlformats.org/officeDocument/2006/relationships" ref="G22" r:id="rId4"/>
    <hyperlink xmlns:r="http://schemas.openxmlformats.org/officeDocument/2006/relationships" ref="G23" r:id="rId5"/>
  </hyperlinks>
  <printOptions gridLines="0"/>
  <pageMargins left="0.75" right="0.75" top="1" bottom="1" header="0.5" footer="0.5"/>
  <pageSetup orientation="landscape" paperSize="9" fitToHeight="0" fitToWidth="1"/>
</worksheet>
</file>

<file path=xl/worksheets/sheet26.xml><?xml version="1.0" encoding="utf-8"?>
<worksheet xmlns="http://schemas.openxmlformats.org/spreadsheetml/2006/main">
  <sheetPr>
    <outlinePr summaryBelow="1" summaryRight="1"/>
    <pageSetUpPr fitToPage="1"/>
  </sheetPr>
  <dimension ref="A1:S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7"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12" customWidth="1" min="14" max="14"/>
    <col width="12" customWidth="1" min="15" max="15"/>
    <col width="12" customWidth="1" min="16" max="16"/>
    <col width="12" customWidth="1" min="17" max="17"/>
    <col width="3" customWidth="1" min="18" max="18"/>
    <col width="95" customWidth="1" min="19" max="19"/>
  </cols>
  <sheetData>
    <row r="1">
      <c r="A1" s="7" t="inlineStr">
        <is>
          <t>Fertility rate, Lane Cove and five nearby councils, 2013 to 2024</t>
        </is>
      </c>
    </row>
    <row r="2">
      <c r="A2" s="25" t="inlineStr">
        <is>
          <t>ABS Births, Australia 2024. Council rates are three-year averages: 2024 is the average for 2022 to 2024.</t>
        </is>
      </c>
    </row>
    <row r="3"/>
    <row r="4" ht="42" customHeight="1">
      <c r="A4" s="26" t="inlineStr">
        <is>
          <t>Council</t>
        </is>
      </c>
      <c r="B4" s="48" t="n">
        <v>2013</v>
      </c>
      <c r="C4" s="48" t="n">
        <v>2014</v>
      </c>
      <c r="D4" s="48" t="n">
        <v>2015</v>
      </c>
      <c r="E4" s="48" t="n">
        <v>2016</v>
      </c>
      <c r="F4" s="48" t="n">
        <v>2017</v>
      </c>
      <c r="G4" s="48" t="n">
        <v>2018</v>
      </c>
      <c r="H4" s="48" t="n">
        <v>2019</v>
      </c>
      <c r="I4" s="48" t="n">
        <v>2020</v>
      </c>
      <c r="J4" s="48" t="n">
        <v>2021</v>
      </c>
      <c r="K4" s="48" t="n">
        <v>2022</v>
      </c>
      <c r="L4" s="48" t="n">
        <v>2023</v>
      </c>
      <c r="M4" s="48" t="n">
        <v>2024</v>
      </c>
      <c r="N4" s="26" t="inlineStr">
        <is>
          <t>Change, 2018 to 2024</t>
        </is>
      </c>
      <c r="O4" s="26" t="inlineStr">
        <is>
          <t>Fell, 2018 to 2024?</t>
        </is>
      </c>
      <c r="P4" s="26" t="inlineStr">
        <is>
          <t>Below 1.5 in 2024?</t>
        </is>
      </c>
      <c r="Q4" s="26" t="inlineStr">
        <is>
          <t>Rank in 2024 (1 = highest of the six)</t>
        </is>
      </c>
      <c r="S4" s="27" t="inlineStr">
        <is>
          <t>In the article</t>
        </is>
      </c>
    </row>
    <row r="5">
      <c r="A5" s="34" t="inlineStr">
        <is>
          <t>Hunters Hill</t>
        </is>
      </c>
      <c r="B5" s="59" t="n">
        <v>1.86</v>
      </c>
      <c r="C5" s="59" t="n">
        <v>1.69</v>
      </c>
      <c r="D5" s="59" t="n">
        <v>1.6</v>
      </c>
      <c r="E5" s="59" t="n">
        <v>1.54</v>
      </c>
      <c r="F5" s="59" t="n">
        <v>1.64</v>
      </c>
      <c r="G5" s="59" t="n">
        <v>1.67</v>
      </c>
      <c r="H5" s="59" t="n">
        <v>1.61</v>
      </c>
      <c r="I5" s="59" t="n">
        <v>1.51</v>
      </c>
      <c r="J5" s="59" t="n">
        <v>1.59</v>
      </c>
      <c r="K5" s="59" t="n">
        <v>1.61</v>
      </c>
      <c r="L5" s="59" t="n">
        <v>1.63</v>
      </c>
      <c r="M5" s="59" t="n">
        <v>1.48</v>
      </c>
      <c r="N5" s="60">
        <f>M5-G5</f>
        <v>-0.19</v>
      </c>
      <c r="O5" s="41" t="str">
        <f>IF(M5&lt;G5,"Yes","No")</f>
        <v>Yes</v>
      </c>
      <c r="P5" s="41" t="str">
        <f>IF(M5&lt;1.5,"Yes","No")</f>
        <v>Yes</v>
      </c>
      <c r="Q5" s="33">
        <f>RANK(M5,$M$5:$M$10)</f>
        <v>1</v>
      </c>
      <c r="S5" s="30" t="inlineStr">
        <is>
          <t>“Lane Cove's, a three-year average of births per woman, fell from 1.65 in 2018 to 1.47 in 2023 (1.33 in 2024, a figure understated by registration timing), and every one of the six council areas is lower than in 2018.”</t>
        </is>
      </c>
    </row>
    <row r="6">
      <c r="A6" s="34" t="inlineStr">
        <is>
          <t>Lane Cove</t>
        </is>
      </c>
      <c r="B6" s="59" t="n">
        <v>1.68</v>
      </c>
      <c r="C6" s="59" t="n">
        <v>1.62</v>
      </c>
      <c r="D6" s="59" t="n">
        <v>1.6</v>
      </c>
      <c r="E6" s="59" t="n">
        <v>1.59</v>
      </c>
      <c r="F6" s="59" t="n">
        <v>1.63</v>
      </c>
      <c r="G6" s="59" t="n">
        <v>1.65</v>
      </c>
      <c r="H6" s="59" t="n">
        <v>1.64</v>
      </c>
      <c r="I6" s="59" t="n">
        <v>1.61</v>
      </c>
      <c r="J6" s="59" t="n">
        <v>1.57</v>
      </c>
      <c r="K6" s="59" t="n">
        <v>1.53</v>
      </c>
      <c r="L6" s="59" t="n">
        <v>1.47</v>
      </c>
      <c r="M6" s="59" t="n">
        <v>1.33</v>
      </c>
      <c r="N6" s="60">
        <f>M6-G6</f>
        <v>-0.32</v>
      </c>
      <c r="O6" s="41" t="str">
        <f>IF(M6&lt;G6,"Yes","No")</f>
        <v>Yes</v>
      </c>
      <c r="P6" s="41" t="str">
        <f>IF(M6&lt;1.5,"Yes","No")</f>
        <v>Yes</v>
      </c>
      <c r="Q6" s="33">
        <f>RANK(M6,$M$5:$M$10)</f>
        <v>2</v>
      </c>
    </row>
    <row r="7">
      <c r="A7" s="34" t="inlineStr">
        <is>
          <t>Mosman</t>
        </is>
      </c>
      <c r="B7" s="59" t="n">
        <v>1.62</v>
      </c>
      <c r="C7" s="59" t="n">
        <v>1.57</v>
      </c>
      <c r="D7" s="59" t="n">
        <v>1.53</v>
      </c>
      <c r="E7" s="59" t="n">
        <v>1.5</v>
      </c>
      <c r="F7" s="59" t="n">
        <v>1.49</v>
      </c>
      <c r="G7" s="59" t="n">
        <v>1.55</v>
      </c>
      <c r="H7" s="59" t="n">
        <v>1.5</v>
      </c>
      <c r="I7" s="59" t="n">
        <v>1.52</v>
      </c>
      <c r="J7" s="59" t="n">
        <v>1.47</v>
      </c>
      <c r="K7" s="59" t="n">
        <v>1.54</v>
      </c>
      <c r="L7" s="59" t="n">
        <v>1.39</v>
      </c>
      <c r="M7" s="59" t="n">
        <v>1.26</v>
      </c>
      <c r="N7" s="60">
        <f>M7-G7</f>
        <v>-0.29</v>
      </c>
      <c r="O7" s="41" t="str">
        <f>IF(M7&lt;G7,"Yes","No")</f>
        <v>Yes</v>
      </c>
      <c r="P7" s="41" t="str">
        <f>IF(M7&lt;1.5,"Yes","No")</f>
        <v>Yes</v>
      </c>
      <c r="Q7" s="33">
        <f>RANK(M7,$M$5:$M$10)</f>
        <v>3</v>
      </c>
    </row>
    <row r="8">
      <c r="A8" s="34" t="inlineStr">
        <is>
          <t>Ryde</t>
        </is>
      </c>
      <c r="B8" s="59" t="n">
        <v>1.61</v>
      </c>
      <c r="C8" s="59" t="n">
        <v>1.57</v>
      </c>
      <c r="D8" s="59" t="n">
        <v>1.54</v>
      </c>
      <c r="E8" s="59" t="n">
        <v>1.48</v>
      </c>
      <c r="F8" s="59" t="n">
        <v>1.44</v>
      </c>
      <c r="G8" s="59" t="n">
        <v>1.41</v>
      </c>
      <c r="H8" s="59" t="n">
        <v>1.36</v>
      </c>
      <c r="I8" s="59" t="n">
        <v>1.33</v>
      </c>
      <c r="J8" s="59" t="n">
        <v>1.29</v>
      </c>
      <c r="K8" s="59" t="n">
        <v>1.24</v>
      </c>
      <c r="L8" s="59" t="n">
        <v>1.18</v>
      </c>
      <c r="M8" s="59" t="n">
        <v>1.08</v>
      </c>
      <c r="N8" s="60">
        <f>M8-G8</f>
        <v>-0.33</v>
      </c>
      <c r="O8" s="41" t="str">
        <f>IF(M8&lt;G8,"Yes","No")</f>
        <v>Yes</v>
      </c>
      <c r="P8" s="41" t="str">
        <f>IF(M8&lt;1.5,"Yes","No")</f>
        <v>Yes</v>
      </c>
      <c r="Q8" s="33">
        <f>RANK(M8,$M$5:$M$10)</f>
        <v>4</v>
      </c>
    </row>
    <row r="9">
      <c r="A9" s="34" t="inlineStr">
        <is>
          <t>North Sydney</t>
        </is>
      </c>
      <c r="B9" s="59" t="n">
        <v>1.38</v>
      </c>
      <c r="C9" s="59" t="n">
        <v>1.38</v>
      </c>
      <c r="D9" s="59" t="n">
        <v>1.37</v>
      </c>
      <c r="E9" s="59" t="n">
        <v>1.42</v>
      </c>
      <c r="F9" s="59" t="n">
        <v>1.38</v>
      </c>
      <c r="G9" s="59" t="n">
        <v>1.42</v>
      </c>
      <c r="H9" s="59" t="n">
        <v>1.37</v>
      </c>
      <c r="I9" s="59" t="n">
        <v>1.35</v>
      </c>
      <c r="J9" s="59" t="n">
        <v>1.32</v>
      </c>
      <c r="K9" s="59" t="n">
        <v>1.28</v>
      </c>
      <c r="L9" s="59" t="n">
        <v>1.21</v>
      </c>
      <c r="M9" s="59" t="n">
        <v>1.06</v>
      </c>
      <c r="N9" s="60">
        <f>M9-G9</f>
        <v>-0.36</v>
      </c>
      <c r="O9" s="41" t="str">
        <f>IF(M9&lt;G9,"Yes","No")</f>
        <v>Yes</v>
      </c>
      <c r="P9" s="41" t="str">
        <f>IF(M9&lt;1.5,"Yes","No")</f>
        <v>Yes</v>
      </c>
      <c r="Q9" s="33">
        <f>RANK(M9,$M$5:$M$10)</f>
        <v>5</v>
      </c>
      <c r="S9" s="30" t="inlineStr">
        <is>
          <t>From an earlier draft of the article, now only in this workbook: “Hunters Hill is highest at 1.48, Lane Cove second at 1.33, and Willoughby lowest at 0.98.”</t>
        </is>
      </c>
    </row>
    <row r="10">
      <c r="A10" s="34" t="inlineStr">
        <is>
          <t>Willoughby</t>
        </is>
      </c>
      <c r="B10" s="59" t="n">
        <v>1.59</v>
      </c>
      <c r="C10" s="59" t="n">
        <v>1.53</v>
      </c>
      <c r="D10" s="59" t="n">
        <v>1.51</v>
      </c>
      <c r="E10" s="59" t="n">
        <v>1.49</v>
      </c>
      <c r="F10" s="59" t="n">
        <v>1.48</v>
      </c>
      <c r="G10" s="59" t="n">
        <v>1.42</v>
      </c>
      <c r="H10" s="59" t="n">
        <v>1.35</v>
      </c>
      <c r="I10" s="59" t="n">
        <v>1.28</v>
      </c>
      <c r="J10" s="59" t="n">
        <v>1.26</v>
      </c>
      <c r="K10" s="59" t="n">
        <v>1.21</v>
      </c>
      <c r="L10" s="59" t="n">
        <v>1.11</v>
      </c>
      <c r="M10" s="59" t="n">
        <v>0.98</v>
      </c>
      <c r="N10" s="60">
        <f>M10-G10</f>
        <v>-0.44</v>
      </c>
      <c r="O10" s="41" t="str">
        <f>IF(M10&lt;G10,"Yes","No")</f>
        <v>Yes</v>
      </c>
      <c r="P10" s="41" t="str">
        <f>IF(M10&lt;1.5,"Yes","No")</f>
        <v>Yes</v>
      </c>
      <c r="Q10" s="33">
        <f>RANK(M10,$M$5:$M$10)</f>
        <v>6</v>
      </c>
    </row>
    <row r="11"/>
    <row r="12" ht="28.5" customHeight="1">
      <c r="A12" s="34" t="inlineStr">
        <is>
          <t>Councils where the rate fell, 2018 to 2024</t>
        </is>
      </c>
      <c r="B12" s="33">
        <f>COUNTIF(O5:O10,"Yes")</f>
        <v>6</v>
      </c>
      <c r="S12" s="27" t="inlineStr">
        <is>
          <t>How the figures are worked out</t>
        </is>
      </c>
    </row>
    <row r="13">
      <c r="A13" s="34" t="inlineStr">
        <is>
          <t>Councils below 1.5 in 2024</t>
        </is>
      </c>
      <c r="B13" s="33">
        <f>COUNTIF(P5:P10,"Yes")</f>
        <v>6</v>
      </c>
      <c r="S13" s="4" t="inlineStr">
        <is>
          <t>Each council's rate is the ABS three-year average ending in the year shown. The six councils are Lane Cove, Willoughby, Hunters Hill, North Sydney, Mosman and Ryde, the same six as the other sheets.</t>
        </is>
      </c>
    </row>
    <row r="14"/>
    <row r="15"/>
    <row r="16"/>
    <row r="17">
      <c r="S17" s="3" t="inlineStr">
        <is>
          <t>The 2024 averages include the understated 2024 registrations (see Births and under-fives). Every council is also lower on the 2023 averages than in 2018.</t>
        </is>
      </c>
    </row>
    <row r="18"/>
    <row r="19"/>
    <row r="20">
      <c r="S20" s="3" t="inlineStr">
        <is>
          <t>Births for 2025, and the 2023 to 2025 rates, arrive with ABS Births 2025 on 6 November 2026.</t>
        </is>
      </c>
    </row>
    <row r="21"/>
    <row r="22">
      <c r="S22" s="27" t="inlineStr">
        <is>
          <t>Sources</t>
        </is>
      </c>
    </row>
    <row r="23">
      <c r="S23" s="42" t="inlineStr">
        <is>
          <t>ABS Births, Australia 2024: births and fertility by local government area (33010DC03)</t>
        </is>
      </c>
    </row>
  </sheetData>
  <mergeCells count="4">
    <mergeCell ref="S9:S10"/>
    <mergeCell ref="S17:S18"/>
    <mergeCell ref="S13:S15"/>
    <mergeCell ref="S5:S7"/>
  </mergeCells>
  <hyperlinks>
    <hyperlink xmlns:r="http://schemas.openxmlformats.org/officeDocument/2006/relationships" ref="A2" r:id="rId1"/>
    <hyperlink xmlns:r="http://schemas.openxmlformats.org/officeDocument/2006/relationships" ref="S13" r:id="rId2"/>
    <hyperlink xmlns:r="http://schemas.openxmlformats.org/officeDocument/2006/relationships" ref="S23" r:id="rId3"/>
  </hyperlinks>
  <printOptions gridLines="0"/>
  <pageMargins left="0.75" right="0.75" top="1" bottom="1" header="0.5" footer="0.5"/>
  <pageSetup orientation="landscape" paperSize="9" fitToHeight="0" fitToWidth="1"/>
</worksheet>
</file>

<file path=xl/worksheets/sheet27.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3" customWidth="1" min="14" max="14"/>
    <col width="95" customWidth="1" min="15" max="15"/>
  </cols>
  <sheetData>
    <row r="1">
      <c r="A1" s="7" t="inlineStr">
        <is>
          <t>Lane Cove's population and the components of change, years to June 2022 to 2025</t>
        </is>
      </c>
    </row>
    <row r="2">
      <c r="A2" s="25" t="inlineStr">
        <is>
          <t>ABS Regional population 2024-25 (2025 council boundaries). 2024-25 components are preliminary.</t>
        </is>
      </c>
    </row>
    <row r="3"/>
    <row r="4" ht="56" customHeight="1">
      <c r="A4" s="26" t="inlineStr">
        <is>
          <t>Year to 30 June</t>
        </is>
      </c>
      <c r="B4" s="26" t="inlineStr">
        <is>
          <t>Births</t>
        </is>
      </c>
      <c r="C4" s="26" t="inlineStr">
        <is>
          <t>Deaths</t>
        </is>
      </c>
      <c r="D4" s="26" t="inlineStr">
        <is>
          <t>Births minus deaths</t>
        </is>
      </c>
      <c r="E4" s="26" t="inlineStr">
        <is>
          <t>Arrivals from the rest of Australia</t>
        </is>
      </c>
      <c r="F4" s="26" t="inlineStr">
        <is>
          <t>Departures to the rest of Australia</t>
        </is>
      </c>
      <c r="G4" s="26" t="inlineStr">
        <is>
          <t>Net internal migration</t>
        </is>
      </c>
      <c r="H4" s="26" t="inlineStr">
        <is>
          <t>Overseas arrivals</t>
        </is>
      </c>
      <c r="I4" s="26" t="inlineStr">
        <is>
          <t>Overseas departures</t>
        </is>
      </c>
      <c r="J4" s="26" t="inlineStr">
        <is>
          <t>Net overseas migration</t>
        </is>
      </c>
      <c r="K4" s="26" t="inlineStr">
        <is>
          <t>Population at 30 June</t>
        </is>
      </c>
      <c r="L4" s="26" t="inlineStr">
        <is>
          <t>Change on a year earlier</t>
        </is>
      </c>
      <c r="M4" s="26" t="inlineStr">
        <is>
          <t>Births minus deaths plus net migration</t>
        </is>
      </c>
      <c r="O4" s="27" t="inlineStr">
        <is>
          <t>How the figures are worked out</t>
        </is>
      </c>
    </row>
    <row r="5">
      <c r="A5" s="31" t="n">
        <v>2022</v>
      </c>
      <c r="B5" s="32" t="n">
        <v>564</v>
      </c>
      <c r="C5" s="32" t="n">
        <v>193</v>
      </c>
      <c r="D5" s="38">
        <f>B5-C5</f>
        <v>371</v>
      </c>
      <c r="E5" s="32" t="n">
        <v>4324</v>
      </c>
      <c r="F5" s="32" t="n">
        <v>4572</v>
      </c>
      <c r="G5" s="38">
        <f>E5-F5</f>
        <v>-248</v>
      </c>
      <c r="H5" s="32" t="n">
        <v>1239</v>
      </c>
      <c r="I5" s="32" t="n">
        <v>808</v>
      </c>
      <c r="J5" s="38">
        <f>H5-I5</f>
        <v>431</v>
      </c>
      <c r="K5" s="32" t="n">
        <v>40162</v>
      </c>
      <c r="L5" s="58" t="n"/>
      <c r="M5" s="38">
        <f>D5+G5+J5</f>
        <v>554</v>
      </c>
      <c r="O5" s="4" t="inlineStr">
        <is>
          <t>Population is the ABS estimated resident population at 30 June, on 2025 council boundaries. Births here are by financial year (see the Births by financial year sheet).</t>
        </is>
      </c>
    </row>
    <row r="6">
      <c r="A6" s="31" t="n">
        <v>2023</v>
      </c>
      <c r="B6" s="32" t="n">
        <v>498</v>
      </c>
      <c r="C6" s="32" t="n">
        <v>136</v>
      </c>
      <c r="D6" s="38">
        <f>B6-C6</f>
        <v>362</v>
      </c>
      <c r="E6" s="32" t="n">
        <v>3483</v>
      </c>
      <c r="F6" s="32" t="n">
        <v>3657</v>
      </c>
      <c r="G6" s="38">
        <f>E6-F6</f>
        <v>-174</v>
      </c>
      <c r="H6" s="32" t="n">
        <v>2058</v>
      </c>
      <c r="I6" s="32" t="n">
        <v>795</v>
      </c>
      <c r="J6" s="38">
        <f>H6-I6</f>
        <v>1263</v>
      </c>
      <c r="K6" s="32" t="n">
        <v>41613</v>
      </c>
      <c r="L6" s="38">
        <f>K6-K5</f>
        <v>1451</v>
      </c>
      <c r="M6" s="38">
        <f>D6+G6+J6</f>
        <v>1451</v>
      </c>
    </row>
    <row r="7">
      <c r="A7" s="31" t="n">
        <v>2024</v>
      </c>
      <c r="B7" s="32" t="n">
        <v>510</v>
      </c>
      <c r="C7" s="32" t="n">
        <v>143</v>
      </c>
      <c r="D7" s="38">
        <f>B7-C7</f>
        <v>367</v>
      </c>
      <c r="E7" s="32" t="n">
        <v>3483</v>
      </c>
      <c r="F7" s="32" t="n">
        <v>3798</v>
      </c>
      <c r="G7" s="38">
        <f>E7-F7</f>
        <v>-315</v>
      </c>
      <c r="H7" s="32" t="n">
        <v>1851</v>
      </c>
      <c r="I7" s="32" t="n">
        <v>922</v>
      </c>
      <c r="J7" s="38">
        <f>H7-I7</f>
        <v>929</v>
      </c>
      <c r="K7" s="32" t="n">
        <v>42594</v>
      </c>
      <c r="L7" s="38">
        <f>K7-K6</f>
        <v>981</v>
      </c>
      <c r="M7" s="38">
        <f>D7+G7+J7</f>
        <v>981</v>
      </c>
    </row>
    <row r="8">
      <c r="A8" s="31" t="n">
        <v>2025</v>
      </c>
      <c r="B8" s="32" t="n">
        <v>451</v>
      </c>
      <c r="C8" s="32" t="n">
        <v>159</v>
      </c>
      <c r="D8" s="38">
        <f>B8-C8</f>
        <v>292</v>
      </c>
      <c r="E8" s="32" t="n">
        <v>3216</v>
      </c>
      <c r="F8" s="32" t="n">
        <v>3543</v>
      </c>
      <c r="G8" s="38">
        <f>E8-F8</f>
        <v>-327</v>
      </c>
      <c r="H8" s="32" t="n">
        <v>1579</v>
      </c>
      <c r="I8" s="32" t="n">
        <v>1044</v>
      </c>
      <c r="J8" s="38">
        <f>H8-I8</f>
        <v>535</v>
      </c>
      <c r="K8" s="32" t="n">
        <v>43094</v>
      </c>
      <c r="L8" s="38">
        <f>K8-K7</f>
        <v>500</v>
      </c>
      <c r="M8" s="38">
        <f>D8+G8+J8</f>
        <v>500</v>
      </c>
      <c r="O8" s="3" t="inlineStr">
        <is>
          <t>Years to June 2017 to 2021 were published on older boundaries and are left out so every row is on the same basis.</t>
        </is>
      </c>
    </row>
    <row r="9"/>
    <row r="10"/>
    <row r="11">
      <c r="O11" s="3" t="inlineStr">
        <is>
          <t>In the year to June 2025, births minus deaths (column D) plus net overseas migration (column J) more than covered the net loss to the rest of Australia (column G); column M adds the three.</t>
        </is>
      </c>
    </row>
    <row r="12"/>
    <row r="13"/>
    <row r="14"/>
    <row r="15">
      <c r="O15" s="3" t="inlineStr">
        <is>
          <t>Net overseas migration in the year to June 2025 (column J) was 535: 1,579 overseas arrivals less 1,044 overseas departures in the year to June 2025.</t>
        </is>
      </c>
    </row>
    <row r="16"/>
    <row r="17"/>
    <row r="18">
      <c r="O18" s="27" t="inlineStr">
        <is>
          <t>Sources</t>
        </is>
      </c>
    </row>
    <row r="19">
      <c r="O19" s="42" t="inlineStr">
        <is>
          <t>ABS Regional population 2024-25 (32180DS0002)</t>
        </is>
      </c>
    </row>
    <row r="20">
      <c r="O20" s="42" t="inlineStr">
        <is>
          <t>ABS Regional population 2024-25: population components by council area (ERP_COMP_LGA2025)</t>
        </is>
      </c>
    </row>
  </sheetData>
  <mergeCells count="4">
    <mergeCell ref="O8:O9"/>
    <mergeCell ref="O5:O6"/>
    <mergeCell ref="O11:O13"/>
    <mergeCell ref="O15:O16"/>
  </mergeCells>
  <hyperlinks>
    <hyperlink xmlns:r="http://schemas.openxmlformats.org/officeDocument/2006/relationships" ref="A2" r:id="rId1"/>
    <hyperlink xmlns:r="http://schemas.openxmlformats.org/officeDocument/2006/relationships" ref="O5" r:id="rId2"/>
    <hyperlink xmlns:r="http://schemas.openxmlformats.org/officeDocument/2006/relationships" ref="O19" r:id="rId3"/>
    <hyperlink xmlns:r="http://schemas.openxmlformats.org/officeDocument/2006/relationships" ref="O20" r:id="rId4"/>
  </hyperlinks>
  <printOptions gridLines="0"/>
  <pageMargins left="0.75" right="0.75" top="1" bottom="1" header="0.5" footer="0.5"/>
  <pageSetup orientation="landscape" paperSize="9" fitToHeight="0" fitToWidth="1"/>
</worksheet>
</file>

<file path=xl/worksheets/sheet28.xml><?xml version="1.0" encoding="utf-8"?>
<worksheet xmlns="http://schemas.openxmlformats.org/spreadsheetml/2006/main">
  <sheetPr>
    <outlinePr summaryBelow="1" summaryRight="1"/>
    <pageSetUpPr fitToPage="1"/>
  </sheetPr>
  <dimension ref="A1:F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0" customWidth="1" min="3" max="3"/>
    <col width="16" customWidth="1" min="4" max="4"/>
    <col width="3" customWidth="1" min="5" max="5"/>
    <col width="95" customWidth="1" min="6" max="6"/>
  </cols>
  <sheetData>
    <row r="1">
      <c r="A1" s="7" t="inlineStr">
        <is>
          <t>Flats and apartments, Lane Cove council area and NSW</t>
        </is>
      </c>
    </row>
    <row r="2">
      <c r="A2" s="25" t="inlineStr">
        <is>
          <t>ABS Census QuickStats, dwelling structure.</t>
        </is>
      </c>
    </row>
    <row r="3"/>
    <row r="4">
      <c r="A4" s="26" t="inlineStr">
        <is>
          <t>Area</t>
        </is>
      </c>
      <c r="B4" s="26" t="inlineStr">
        <is>
          <t>Census</t>
        </is>
      </c>
      <c r="C4" s="26" t="inlineStr">
        <is>
          <t>Dwelling structure</t>
        </is>
      </c>
      <c r="D4" s="26" t="inlineStr">
        <is>
          <t>Share of dwellings</t>
        </is>
      </c>
      <c r="F4" s="27" t="inlineStr">
        <is>
          <t>How the figures are worked out</t>
        </is>
      </c>
    </row>
    <row r="5">
      <c r="A5" s="34" t="inlineStr">
        <is>
          <t>Lane Cove council area</t>
        </is>
      </c>
      <c r="B5" s="49" t="n">
        <v>2016</v>
      </c>
      <c r="C5" s="43" t="inlineStr">
        <is>
          <t>Flat or apartment</t>
        </is>
      </c>
      <c r="D5" s="55" t="n">
        <v>0.516</v>
      </c>
      <c r="F5" s="4" t="inlineStr">
        <is>
          <t>Shares as published in ABS QuickStats for Lane Cove council area (LGA14700): the 2016 page for 2016 and the 2021 page for 2021. The New South Wales share is from the 2021 page.</t>
        </is>
      </c>
    </row>
    <row r="6">
      <c r="A6" s="34" t="inlineStr">
        <is>
          <t>Lane Cove council area</t>
        </is>
      </c>
      <c r="B6" s="49" t="n">
        <v>2021</v>
      </c>
      <c r="C6" s="43" t="inlineStr">
        <is>
          <t>Flat or apartment</t>
        </is>
      </c>
      <c r="D6" s="55" t="n">
        <v>0.5669999999999999</v>
      </c>
    </row>
    <row r="7">
      <c r="A7" s="34" t="inlineStr">
        <is>
          <t>Lane Cove council area</t>
        </is>
      </c>
      <c r="B7" s="49" t="n">
        <v>2016</v>
      </c>
      <c r="C7" s="43" t="inlineStr">
        <is>
          <t>Separate house</t>
        </is>
      </c>
      <c r="D7" s="55" t="n">
        <v>0.423</v>
      </c>
    </row>
    <row r="8">
      <c r="A8" s="34" t="inlineStr">
        <is>
          <t>Lane Cove council area</t>
        </is>
      </c>
      <c r="B8" s="49" t="n">
        <v>2021</v>
      </c>
      <c r="C8" s="43" t="inlineStr">
        <is>
          <t>Separate house</t>
        </is>
      </c>
      <c r="D8" s="55" t="n">
        <v>0.378</v>
      </c>
      <c r="F8" s="27" t="inlineStr">
        <is>
          <t>Sources</t>
        </is>
      </c>
    </row>
    <row r="9">
      <c r="A9" s="34" t="inlineStr">
        <is>
          <t>New South Wales</t>
        </is>
      </c>
      <c r="B9" s="49" t="n">
        <v>2021</v>
      </c>
      <c r="C9" s="43" t="inlineStr">
        <is>
          <t>Flat or apartment</t>
        </is>
      </c>
      <c r="D9" s="55" t="n">
        <v>0.217</v>
      </c>
      <c r="F9" s="42" t="inlineStr">
        <is>
          <t>ABS 2021 Census QuickStats, Lane Cove LGA</t>
        </is>
      </c>
    </row>
    <row r="10">
      <c r="F10" s="42" t="inlineStr">
        <is>
          <t>ABS 2016 Census QuickStats, Lane Cove LGA</t>
        </is>
      </c>
    </row>
  </sheetData>
  <mergeCells count="1">
    <mergeCell ref="F5:F6"/>
  </mergeCells>
  <hyperlinks>
    <hyperlink xmlns:r="http://schemas.openxmlformats.org/officeDocument/2006/relationships" ref="A2" r:id="rId1"/>
    <hyperlink xmlns:r="http://schemas.openxmlformats.org/officeDocument/2006/relationships" ref="F5" r:id="rId2"/>
    <hyperlink xmlns:r="http://schemas.openxmlformats.org/officeDocument/2006/relationships" ref="F9" r:id="rId3"/>
    <hyperlink xmlns:r="http://schemas.openxmlformats.org/officeDocument/2006/relationships" ref="F10" r:id="rId4"/>
  </hyperlinks>
  <printOptions gridLines="0"/>
  <pageMargins left="0.75" right="0.75" top="1" bottom="1" header="0.5" footer="0.5"/>
  <pageSetup orientation="landscape" paperSize="9" fitToHeight="0" fitToWidth="1"/>
</worksheet>
</file>

<file path=xl/worksheets/sheet29.xml><?xml version="1.0" encoding="utf-8"?>
<worksheet xmlns="http://schemas.openxmlformats.org/spreadsheetml/2006/main">
  <sheetPr>
    <outlinePr summaryBelow="1" summaryRight="1"/>
    <pageSetUpPr fitToPage="1"/>
  </sheetPr>
  <dimension ref="A1:H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26" customWidth="1" min="3" max="3"/>
    <col width="9" customWidth="1" min="4" max="4"/>
    <col width="28" customWidth="1" min="5" max="5"/>
    <col width="56" customWidth="1" min="6" max="6"/>
    <col width="3" customWidth="1" min="7" max="7"/>
    <col width="95" customWidth="1" min="8" max="8"/>
  </cols>
  <sheetData>
    <row r="1">
      <c r="A1" s="7" t="inlineStr">
        <is>
          <t>Start-of-year figures published by the schools</t>
        </is>
      </c>
    </row>
    <row r="2">
      <c r="A2" s="8" t="inlineStr">
        <is>
          <t>Taken from the schools' own newsletters, each linked beside its figures. Start-of-year counts, not census data, so not comparable with the August census figures on the other sheets.</t>
        </is>
      </c>
    </row>
    <row r="3"/>
    <row r="4"/>
    <row r="5">
      <c r="A5" s="26" t="inlineStr">
        <is>
          <t>School</t>
        </is>
      </c>
      <c r="B5" s="26" t="inlineStr">
        <is>
          <t>When</t>
        </is>
      </c>
      <c r="C5" s="26" t="inlineStr">
        <is>
          <t>What the school published</t>
        </is>
      </c>
      <c r="D5" s="26" t="inlineStr">
        <is>
          <t>Figure</t>
        </is>
      </c>
      <c r="E5" s="26" t="inlineStr">
        <is>
          <t>Newsletter</t>
        </is>
      </c>
      <c r="F5" s="26" t="inlineStr">
        <is>
          <t>Wording as published</t>
        </is>
      </c>
      <c r="H5" s="27" t="inlineStr">
        <is>
          <t>In the article</t>
        </is>
      </c>
    </row>
    <row r="6" ht="30" customHeight="1">
      <c r="A6" s="34" t="inlineStr">
        <is>
          <t>Lane Cove Public</t>
        </is>
      </c>
      <c r="B6" s="61" t="inlineStr">
        <is>
          <t>Start of 2026</t>
        </is>
      </c>
      <c r="C6" s="10" t="inlineStr">
        <is>
          <t>Students enrolled</t>
        </is>
      </c>
      <c r="D6" s="62" t="n">
        <v>672</v>
      </c>
      <c r="E6" s="63" t="inlineStr">
        <is>
          <t>Lane Cove Loop, Term 1 2026</t>
        </is>
      </c>
      <c r="F6" s="10" t="inlineStr">
        <is>
          <t>We have 672 students enrolled and we have formed 27 classes Kindergarten to Year 6</t>
        </is>
      </c>
      <c r="H6" s="30" t="inlineStr">
        <is>
          <t>“Their figures are start-of-year counts, so they can be compared with each other but not with the August figures in our charts.”</t>
        </is>
      </c>
    </row>
    <row r="7" ht="30" customHeight="1">
      <c r="A7" s="34" t="inlineStr">
        <is>
          <t>Lane Cove Public</t>
        </is>
      </c>
      <c r="B7" s="61" t="inlineStr">
        <is>
          <t>Start of 2026</t>
        </is>
      </c>
      <c r="C7" s="10" t="inlineStr">
        <is>
          <t>Classes, Kindergarten to Year 6</t>
        </is>
      </c>
      <c r="D7" s="62" t="n">
        <v>27</v>
      </c>
      <c r="E7" s="63" t="inlineStr">
        <is>
          <t>Lane Cove Loop, Term 1 2026</t>
        </is>
      </c>
      <c r="F7" s="10" t="inlineStr">
        <is>
          <t>Same sentence as the row above</t>
        </is>
      </c>
    </row>
    <row r="8" ht="30" customHeight="1">
      <c r="A8" s="34" t="inlineStr">
        <is>
          <t>Lane Cove Public</t>
        </is>
      </c>
      <c r="B8" s="61" t="inlineStr">
        <is>
          <t>Start of 2025</t>
        </is>
      </c>
      <c r="C8" s="10" t="inlineStr">
        <is>
          <t>Students enrolled</t>
        </is>
      </c>
      <c r="D8" s="62" t="n">
        <v>697</v>
      </c>
      <c r="E8" s="63" t="inlineStr">
        <is>
          <t>Lane Cove Loop, Term 1 2025</t>
        </is>
      </c>
      <c r="F8" s="10" t="inlineStr">
        <is>
          <t>Figures only; the newsletter's wording is not quoted here</t>
        </is>
      </c>
    </row>
    <row r="9" ht="30" customHeight="1">
      <c r="A9" s="34" t="inlineStr">
        <is>
          <t>Lane Cove Public</t>
        </is>
      </c>
      <c r="B9" s="61" t="inlineStr">
        <is>
          <t>Start of 2025</t>
        </is>
      </c>
      <c r="C9" s="10" t="inlineStr">
        <is>
          <t>Classes</t>
        </is>
      </c>
      <c r="D9" s="62" t="n">
        <v>28</v>
      </c>
      <c r="E9" s="63" t="inlineStr">
        <is>
          <t>Lane Cove Loop, Term 1 2025</t>
        </is>
      </c>
      <c r="F9" s="10" t="inlineStr">
        <is>
          <t>Figures only; the newsletter's wording is not quoted here</t>
        </is>
      </c>
      <c r="H9" s="30" t="inlineStr">
        <is>
          <t>“By its own count, Lane Cove Public began 2026 with 672 students in 27 classes, down from 697 students in 28 classes at the same point in 2025.”</t>
        </is>
      </c>
    </row>
    <row r="10" ht="30" customHeight="1">
      <c r="A10" s="34" t="inlineStr">
        <is>
          <t>Greenwich Public</t>
        </is>
      </c>
      <c r="B10" s="61" t="inlineStr">
        <is>
          <t>Start of 2026</t>
        </is>
      </c>
      <c r="C10" s="10" t="inlineStr">
        <is>
          <t>Students enrolled</t>
        </is>
      </c>
      <c r="D10" s="62" t="n">
        <v>328</v>
      </c>
      <c r="E10" s="63" t="inlineStr">
        <is>
          <t>Newsletter, 6 February 2026</t>
        </is>
      </c>
      <c r="F10" s="10" t="inlineStr">
        <is>
          <t>We have commenced 2026 with 328 students enrolled, including 40 Kindergarten students</t>
        </is>
      </c>
    </row>
    <row r="11" ht="16" customHeight="1">
      <c r="A11" s="34" t="inlineStr">
        <is>
          <t>Greenwich Public</t>
        </is>
      </c>
      <c r="B11" s="61" t="inlineStr">
        <is>
          <t>Start of 2026</t>
        </is>
      </c>
      <c r="C11" s="10" t="inlineStr">
        <is>
          <t>Kindergarten students</t>
        </is>
      </c>
      <c r="D11" s="62" t="n">
        <v>40</v>
      </c>
      <c r="E11" s="63" t="inlineStr">
        <is>
          <t>Newsletter, 6 February 2026</t>
        </is>
      </c>
      <c r="F11" s="10" t="inlineStr">
        <is>
          <t>Same sentence as the row above</t>
        </is>
      </c>
    </row>
    <row r="12" ht="44" customHeight="1">
      <c r="A12" s="34" t="inlineStr">
        <is>
          <t>Lane Cove West Public</t>
        </is>
      </c>
      <c r="B12" s="61" t="inlineStr">
        <is>
          <t>Start of 2026</t>
        </is>
      </c>
      <c r="C12" s="10" t="inlineStr">
        <is>
          <t>No enrolment figure; statement to families</t>
        </is>
      </c>
      <c r="D12" s="62" t="n"/>
      <c r="E12" s="63" t="inlineStr">
        <is>
          <t>Chatters, February 2026</t>
        </is>
      </c>
      <c r="F12" s="10" t="inlineStr">
        <is>
          <t>Due to our enrolment numbers at Lane Cove West Public School, we will no longer have a staff member in the Deputy Principal role.</t>
        </is>
      </c>
      <c r="H12" s="30" t="inlineStr">
        <is>
          <t>“"We have commenced 2026 with 328 students enrolled, including 40 Kindergarten students," Greenwich's principal wrote to families on 6 February”</t>
        </is>
      </c>
    </row>
    <row r="13"/>
    <row r="14"/>
    <row r="15">
      <c r="H15" s="27" t="inlineStr">
        <is>
          <t>How the figures are worked out</t>
        </is>
      </c>
    </row>
    <row r="16">
      <c r="H16" s="4" t="inlineStr">
        <is>
          <t>Figures and wording are as the schools published them to families at the start of the school year, months before the August census used everywhere else in this workbook. Official 2026 school figures are due with the next My School release.</t>
        </is>
      </c>
    </row>
    <row r="17"/>
    <row r="18"/>
    <row r="19"/>
    <row r="20">
      <c r="H20" s="27" t="inlineStr">
        <is>
          <t>Sources</t>
        </is>
      </c>
    </row>
    <row r="21">
      <c r="H21" s="42" t="inlineStr">
        <is>
          <t>School newsletter, Term 1 2026: Lane Cove Public</t>
        </is>
      </c>
    </row>
    <row r="22">
      <c r="H22" s="42" t="inlineStr">
        <is>
          <t>School newsletter, Term 1 2025: Lane Cove Public</t>
        </is>
      </c>
    </row>
    <row r="23">
      <c r="H23" s="42" t="inlineStr">
        <is>
          <t>School newsletter, Term 1 2026: Greenwich Public</t>
        </is>
      </c>
    </row>
    <row r="24">
      <c r="H24" s="42" t="inlineStr">
        <is>
          <t>School newsletter, Term 1 2026: Lane Cove West Public</t>
        </is>
      </c>
    </row>
    <row r="25">
      <c r="H25" s="42" t="inlineStr">
        <is>
          <t>ACARA key dates (My School release)</t>
        </is>
      </c>
    </row>
  </sheetData>
  <mergeCells count="4">
    <mergeCell ref="H6:H7"/>
    <mergeCell ref="H16:H18"/>
    <mergeCell ref="H12:H13"/>
    <mergeCell ref="H9:H10"/>
  </mergeCells>
  <hyperlinks>
    <hyperlink xmlns:r="http://schemas.openxmlformats.org/officeDocument/2006/relationships" ref="E6" r:id="rId1"/>
    <hyperlink xmlns:r="http://schemas.openxmlformats.org/officeDocument/2006/relationships" ref="E7" r:id="rId2"/>
    <hyperlink xmlns:r="http://schemas.openxmlformats.org/officeDocument/2006/relationships" ref="E8" r:id="rId3"/>
    <hyperlink xmlns:r="http://schemas.openxmlformats.org/officeDocument/2006/relationships" ref="E9" r:id="rId4"/>
    <hyperlink xmlns:r="http://schemas.openxmlformats.org/officeDocument/2006/relationships" ref="E10" r:id="rId5"/>
    <hyperlink xmlns:r="http://schemas.openxmlformats.org/officeDocument/2006/relationships" ref="E11" r:id="rId6"/>
    <hyperlink xmlns:r="http://schemas.openxmlformats.org/officeDocument/2006/relationships" ref="E12" r:id="rId7"/>
    <hyperlink xmlns:r="http://schemas.openxmlformats.org/officeDocument/2006/relationships" ref="H16" r:id="rId8"/>
    <hyperlink xmlns:r="http://schemas.openxmlformats.org/officeDocument/2006/relationships" ref="H21" r:id="rId9"/>
    <hyperlink xmlns:r="http://schemas.openxmlformats.org/officeDocument/2006/relationships" ref="H22" r:id="rId10"/>
    <hyperlink xmlns:r="http://schemas.openxmlformats.org/officeDocument/2006/relationships" ref="H23" r:id="rId11"/>
    <hyperlink xmlns:r="http://schemas.openxmlformats.org/officeDocument/2006/relationships" ref="H24" r:id="rId12"/>
    <hyperlink xmlns:r="http://schemas.openxmlformats.org/officeDocument/2006/relationships" ref="H25" r:id="rId13"/>
  </hyperlinks>
  <printOptions gridLines="0"/>
  <pageMargins left="0.75" right="0.75" top="1" bottom="1" header="0.5" footer="0.5"/>
  <pageSetup orientation="landscape" paperSize="9" fitToHeight="0" fitToWidth="1"/>
</worksheet>
</file>

<file path=xl/worksheets/sheet30.xml><?xml version="1.0" encoding="utf-8"?>
<worksheet xmlns="http://schemas.openxmlformats.org/spreadsheetml/2006/main">
  <sheetPr>
    <outlinePr summaryBelow="1" summaryRight="1"/>
    <pageSetUpPr fitToPage="1"/>
  </sheetPr>
  <dimension ref="A1:B57"/>
  <sheetViews>
    <sheetView workbookViewId="0">
      <pane ySplit="4" topLeftCell="A5" activePane="bottomLeft" state="frozen"/>
      <selection pane="bottomLeft" activeCell="A1" sqref="A1"/>
    </sheetView>
  </sheetViews>
  <sheetFormatPr baseColWidth="8" defaultRowHeight="15"/>
  <cols>
    <col width="86" customWidth="1" min="1" max="1"/>
    <col width="56" customWidth="1" min="2" max="2"/>
  </cols>
  <sheetData>
    <row r="1">
      <c r="A1" s="7" t="inlineStr">
        <is>
          <t>Sources</t>
        </is>
      </c>
    </row>
    <row r="2">
      <c r="A2" s="8" t="inlineStr">
        <is>
          <t>Every source in the article's Sources list, then other sources used in this workbook.</t>
        </is>
      </c>
    </row>
    <row r="3"/>
    <row r="4">
      <c r="A4" s="27" t="inlineStr">
        <is>
          <t>Source</t>
        </is>
      </c>
      <c r="B4" s="27" t="inlineStr">
        <is>
          <t>Used on these sheets</t>
        </is>
      </c>
    </row>
    <row r="5">
      <c r="A5" s="64" t="inlineStr">
        <is>
          <t>In the article's Sources list</t>
        </is>
      </c>
    </row>
    <row r="6" ht="107" customHeight="1">
      <c r="A6" s="13" t="inlineStr">
        <is>
          <t>ACARA Data Access Program: Enrolments by Grade 2008-2025 and School Locations 2025</t>
        </is>
      </c>
      <c r="B6" s="10" t="inlineStr">
        <is>
          <t>School totals, Kindergarten, Department cross-check, Council-area kindergarten, Nearby public primaries, Schools in the six councils, Six councils, Sector kindergarten, Private kindy and births, Resident children ratio, Areas within Lane Cove, Mowbray and the boundary, Five-year-olds, Enrolment caps, Zone changes, Year 4 to Year 5, Year 5 intake, private schools, Kindergarten projection</t>
        </is>
      </c>
    </row>
    <row r="7" ht="16" customHeight="1">
      <c r="A7" s="13" t="inlineStr">
        <is>
          <t>ACARA key dates (My School release)</t>
        </is>
      </c>
      <c r="B7" s="10" t="inlineStr">
        <is>
          <t>School figures 2026</t>
        </is>
      </c>
    </row>
    <row r="8" ht="29" customHeight="1">
      <c r="A8" s="13" t="inlineStr">
        <is>
          <t>NSW Department of Education: NSW government school enrolments by head count, 2004-2025</t>
        </is>
      </c>
      <c r="B8" s="10" t="inlineStr">
        <is>
          <t>School totals, Department cross-check</t>
        </is>
      </c>
    </row>
    <row r="9" ht="16" customHeight="1">
      <c r="A9" s="13" t="inlineStr">
        <is>
          <t>ABS Schools 2025, Table 42b: full-time and part-time students, 2006-2025</t>
        </is>
      </c>
      <c r="B9" s="10" t="inlineStr">
        <is>
          <t>NSW primary enrolments</t>
        </is>
      </c>
    </row>
    <row r="10" ht="42" customHeight="1">
      <c r="A10" s="13" t="inlineStr">
        <is>
          <t>ABS Births, Australia 2024: births and fertility by local government area (33010DC03)</t>
        </is>
      </c>
      <c r="B10" s="10" t="inlineStr">
        <is>
          <t>Six councils, Private kindy and births, Births and under-fives, Kindergarten projection, Fertility by council</t>
        </is>
      </c>
    </row>
    <row r="11" ht="42" customHeight="1">
      <c r="A11" s="13" t="inlineStr">
        <is>
          <t>ABS Regional population by age and sex 2025 (32350DS0006)</t>
        </is>
      </c>
      <c r="B11" s="10" t="inlineStr">
        <is>
          <t>Moving house, Resident children ratio, Areas within Lane Cove, Mowbray and the boundary, Five-year-olds, Births and under-fives, Kindergarten projection</t>
        </is>
      </c>
    </row>
    <row r="12" ht="29" customHeight="1">
      <c r="A12" s="13" t="inlineStr">
        <is>
          <t>NSW Department of Planning, Housing and Infrastructure: 2024 population projections</t>
        </is>
      </c>
      <c r="B12" s="10" t="inlineStr">
        <is>
          <t>Births and under-fives</t>
        </is>
      </c>
    </row>
    <row r="13" ht="29" customHeight="1">
      <c r="A13" s="13" t="inlineStr">
        <is>
          <t>ABS: 2026 Census topics and data release</t>
        </is>
      </c>
      <c r="B13" s="10" t="inlineStr">
        <is>
          <t>Cited in the article; no figure on these sheets comes from it.</t>
        </is>
      </c>
    </row>
    <row r="14" ht="16" customHeight="1">
      <c r="A14" s="13" t="inlineStr">
        <is>
          <t>In the Cove, April 2026: Lane Cove Schools, Part 1</t>
        </is>
      </c>
      <c r="B14" s="10" t="inlineStr">
        <is>
          <t>Nearby public primaries</t>
        </is>
      </c>
    </row>
    <row r="15" ht="16" customHeight="1">
      <c r="A15" s="13" t="inlineStr">
        <is>
          <t>NSW Department of Education: starting school</t>
        </is>
      </c>
      <c r="B15" s="10" t="inlineStr">
        <is>
          <t>Births and under-fives</t>
        </is>
      </c>
    </row>
    <row r="16" ht="16" customHeight="1">
      <c r="A16" s="13" t="inlineStr">
        <is>
          <t>School newsletter, Term 1 2026: Lane Cove Public</t>
        </is>
      </c>
      <c r="B16" s="10" t="inlineStr">
        <is>
          <t>School figures 2026</t>
        </is>
      </c>
    </row>
    <row r="17" ht="16" customHeight="1">
      <c r="A17" s="13" t="inlineStr">
        <is>
          <t>School newsletter, Term 1 2025: Lane Cove Public</t>
        </is>
      </c>
      <c r="B17" s="10" t="inlineStr">
        <is>
          <t>School figures 2026</t>
        </is>
      </c>
    </row>
    <row r="18" ht="16" customHeight="1">
      <c r="A18" s="13" t="inlineStr">
        <is>
          <t>School newsletter, Term 1 2026: Greenwich Public</t>
        </is>
      </c>
      <c r="B18" s="10" t="inlineStr">
        <is>
          <t>School figures 2026</t>
        </is>
      </c>
    </row>
    <row r="19" ht="16" customHeight="1">
      <c r="A19" s="13" t="inlineStr">
        <is>
          <t>School newsletter, Term 1 2026: Lane Cove West Public</t>
        </is>
      </c>
      <c r="B19" s="10" t="inlineStr">
        <is>
          <t>School figures 2026</t>
        </is>
      </c>
    </row>
    <row r="20" ht="29" customHeight="1">
      <c r="A20" s="13" t="inlineStr">
        <is>
          <t>St Michael's Catholic Primary School Lane Cove: annual school report (Sydney Catholic Schools)</t>
        </is>
      </c>
      <c r="B20" s="10" t="inlineStr">
        <is>
          <t>Cited in the article; no figure on these sheets comes from it.</t>
        </is>
      </c>
    </row>
    <row r="21" ht="16" customHeight="1">
      <c r="A21" s="13" t="inlineStr">
        <is>
          <t>ABS Regional population 2024-25 (32180DS0002)</t>
        </is>
      </c>
      <c r="B21" s="10" t="inlineStr">
        <is>
          <t>Population 2024-25</t>
        </is>
      </c>
    </row>
    <row r="22" ht="55" customHeight="1">
      <c r="A22" s="13" t="inlineStr">
        <is>
          <t>Lane Cove Council: Children and Families Strategy, May 2026</t>
        </is>
      </c>
      <c r="B22" s="10" t="inlineStr">
        <is>
          <t>Cited in the article; no figure on these sheets comes from it. Council's page for the strategy; the PDF itself is reached through the page's download button.</t>
        </is>
      </c>
    </row>
    <row r="23" ht="16" customHeight="1">
      <c r="A23" s="13" t="inlineStr">
        <is>
          <t>ABS 2021 Census QuickStats, Lane Cove LGA</t>
        </is>
      </c>
      <c r="B23" s="10" t="inlineStr">
        <is>
          <t>Housing (Census 2021)</t>
        </is>
      </c>
    </row>
    <row r="24" ht="29" customHeight="1">
      <c r="A24" s="13" t="inlineStr">
        <is>
          <t>ABS Regional population 2024-25: population components by council area (ERP_COMP_LGA2025)</t>
        </is>
      </c>
      <c r="B24" s="10" t="inlineStr">
        <is>
          <t>Births by financial year, Population 2024-25</t>
        </is>
      </c>
    </row>
    <row r="25"/>
    <row r="26">
      <c r="A26" s="64" t="inlineStr">
        <is>
          <t>Also linked in the article</t>
        </is>
      </c>
    </row>
    <row r="27" ht="29" customHeight="1">
      <c r="A27" s="13" t="inlineStr">
        <is>
          <t>data spreadsheet</t>
        </is>
      </c>
      <c r="B27" s="10" t="inlineStr">
        <is>
          <t>Cited in the article; no figure on these sheets comes from it.</t>
        </is>
      </c>
    </row>
    <row r="28" ht="29" customHeight="1">
      <c r="A28" s="13" t="inlineStr">
        <is>
          <t>Education Matters: 'Reddam House Sydney: where excellence endures' (Reddam House North Shore opening)</t>
        </is>
      </c>
      <c r="B28" s="10" t="inlineStr">
        <is>
          <t>Cited in the article; no figure on these sheets comes from it.</t>
        </is>
      </c>
    </row>
    <row r="29" ht="29" customHeight="1">
      <c r="A29" s="13" t="inlineStr">
        <is>
          <t>ABS 2021 Census community profiles (General Community Profile and Time Series Profile), Lane Cove LGA</t>
        </is>
      </c>
      <c r="B29" s="10" t="inlineStr">
        <is>
          <t>Census sector shares, Five-year-olds</t>
        </is>
      </c>
    </row>
    <row r="30" ht="29" customHeight="1">
      <c r="A30" s="13" t="inlineStr">
        <is>
          <t>ABS Regional population by age and sex, 2025: release page (council areas and Greater Sydney)</t>
        </is>
      </c>
      <c r="B30" s="10" t="inlineStr">
        <is>
          <t>Moving house, Areas within Lane Cove</t>
        </is>
      </c>
    </row>
    <row r="31" ht="29" customHeight="1">
      <c r="A31" s="13" t="inlineStr">
        <is>
          <t>NSW Parliament, Budget Estimates 2019-2020, Education: supplementary questions and answers (the 2019 enrolment cap policy)</t>
        </is>
      </c>
      <c r="B31" s="10" t="inlineStr">
        <is>
          <t>Enrolment caps</t>
        </is>
      </c>
    </row>
    <row r="32" ht="29" customHeight="1">
      <c r="A32" s="13" t="inlineStr">
        <is>
          <t>NSW Parliament, Budget Estimates 2019-2020: Attachment B to question 355 (enrolment caps set for 2020)</t>
        </is>
      </c>
      <c r="B32" s="10" t="inlineStr">
        <is>
          <t>Enrolment caps</t>
        </is>
      </c>
    </row>
    <row r="33" ht="29" customHeight="1">
      <c r="A33" s="13" t="inlineStr">
        <is>
          <t>ABS 2021 Census mesh block counts</t>
        </is>
      </c>
      <c r="B33" s="10" t="inlineStr">
        <is>
          <t>Areas within Lane Cove, Mowbray and the boundary, Zone changes</t>
        </is>
      </c>
    </row>
    <row r="34" ht="29" customHeight="1">
      <c r="A34" s="13" t="inlineStr">
        <is>
          <t>NSW Department of Education: school intake zones (catchment areas) for NSW government schools, on Data.NSW</t>
        </is>
      </c>
      <c r="B34" s="10" t="inlineStr">
        <is>
          <t>Areas within Lane Cove, Mowbray and the boundary, Zone changes</t>
        </is>
      </c>
    </row>
    <row r="35" ht="16" customHeight="1">
      <c r="A35" s="13" t="inlineStr">
        <is>
          <t>ABS 2016 Census community profiles (General Community Profile), Lane Cove LGA</t>
        </is>
      </c>
      <c r="B35" s="10" t="inlineStr">
        <is>
          <t>Five-year-olds</t>
        </is>
      </c>
    </row>
    <row r="36" ht="42" customHeight="1">
      <c r="A36" s="13" t="inlineStr">
        <is>
          <t>NSW Parliament, Budget Estimates 2020-2021: answers to supplementary questions, Minister Mitchell (question 200 and its Tab A: 2021 enrolments and enrolment caps)</t>
        </is>
      </c>
      <c r="B36" s="10" t="inlineStr">
        <is>
          <t>Enrolment caps</t>
        </is>
      </c>
    </row>
    <row r="37" ht="29" customHeight="1">
      <c r="A37" s="13" t="inlineStr">
        <is>
          <t>School Infrastructure NSW: Mowbray Public School (intake area changing from 2027)</t>
        </is>
      </c>
      <c r="B37" s="10" t="inlineStr">
        <is>
          <t>Zone changes</t>
        </is>
      </c>
    </row>
    <row r="38" ht="29" customHeight="1">
      <c r="A38" s="13" t="inlineStr">
        <is>
          <t>NSW Department of Education: opportunity classes, Year 5</t>
        </is>
      </c>
      <c r="B38" s="10" t="inlineStr">
        <is>
          <t>Cited in the article; no figure on these sheets comes from it.</t>
        </is>
      </c>
    </row>
    <row r="39"/>
    <row r="40">
      <c r="A40" s="64" t="inlineStr">
        <is>
          <t>Also used in this workbook</t>
        </is>
      </c>
    </row>
    <row r="41" ht="29" customHeight="1">
      <c r="A41" s="13" t="inlineStr">
        <is>
          <t>ABS Data API: estimated resident population by age, Greater Sydney (ERP_ASGS2021)</t>
        </is>
      </c>
      <c r="B41" s="10" t="inlineStr">
        <is>
          <t>Moving house, Resident children ratio, Five-year-olds</t>
        </is>
      </c>
    </row>
    <row r="42" ht="29" customHeight="1">
      <c r="A42" s="13" t="inlineStr">
        <is>
          <t>ABS Data API: estimated resident population by age, SA2s Lane Cove and Greenwich - Riverview (ERP_ASGS2021)</t>
        </is>
      </c>
      <c r="B42" s="10" t="inlineStr">
        <is>
          <t>Areas within Lane Cove</t>
        </is>
      </c>
    </row>
    <row r="43" ht="29" customHeight="1">
      <c r="A43" s="13" t="inlineStr">
        <is>
          <t>ABS Data API: 2021 Census Time Series, T13 type of educational institution attending, six council areas (C21_T13_LGA)</t>
        </is>
      </c>
      <c r="B43" s="10" t="inlineStr">
        <is>
          <t>Census sector shares</t>
        </is>
      </c>
    </row>
    <row r="44" ht="16" customHeight="1">
      <c r="A44" s="13" t="inlineStr">
        <is>
          <t>ABS 2016 Census QuickStats, Lane Cove LGA</t>
        </is>
      </c>
      <c r="B44" s="10" t="inlineStr">
        <is>
          <t>Housing (Census 2021)</t>
        </is>
      </c>
    </row>
    <row r="45" ht="16" customHeight="1">
      <c r="A45" s="13" t="inlineStr">
        <is>
          <t>ABS 2021 Census community profile (Time Series Profile), Willoughby LGA</t>
        </is>
      </c>
      <c r="B45" s="10" t="inlineStr">
        <is>
          <t>Census sector shares, Five-year-olds</t>
        </is>
      </c>
    </row>
    <row r="46" ht="16" customHeight="1">
      <c r="A46" s="13" t="inlineStr">
        <is>
          <t>ABS 2021 Census community profile (Time Series Profile), Hunters Hill LGA</t>
        </is>
      </c>
      <c r="B46" s="10" t="inlineStr">
        <is>
          <t>Census sector shares, Five-year-olds</t>
        </is>
      </c>
    </row>
    <row r="47" ht="16" customHeight="1">
      <c r="A47" s="13" t="inlineStr">
        <is>
          <t>ABS 2021 Census community profile (Time Series Profile), North Sydney LGA</t>
        </is>
      </c>
      <c r="B47" s="10" t="inlineStr">
        <is>
          <t>Census sector shares, Five-year-olds</t>
        </is>
      </c>
    </row>
    <row r="48" ht="16" customHeight="1">
      <c r="A48" s="13" t="inlineStr">
        <is>
          <t>ABS 2021 Census community profile (Time Series Profile), Mosman LGA</t>
        </is>
      </c>
      <c r="B48" s="10" t="inlineStr">
        <is>
          <t>Census sector shares, Five-year-olds</t>
        </is>
      </c>
    </row>
    <row r="49" ht="16" customHeight="1">
      <c r="A49" s="13" t="inlineStr">
        <is>
          <t>ABS 2021 Census community profile (Time Series Profile), Ryde LGA</t>
        </is>
      </c>
      <c r="B49" s="10" t="inlineStr">
        <is>
          <t>Census sector shares, Five-year-olds</t>
        </is>
      </c>
    </row>
    <row r="50" ht="16" customHeight="1">
      <c r="A50" s="13" t="inlineStr">
        <is>
          <t>ABS 2016 Census community profiles (General Community Profile), Willoughby LGA</t>
        </is>
      </c>
      <c r="B50" s="10" t="inlineStr">
        <is>
          <t>Five-year-olds</t>
        </is>
      </c>
    </row>
    <row r="51" ht="16" customHeight="1">
      <c r="A51" s="13" t="inlineStr">
        <is>
          <t>ABS 2016 Census community profiles (General Community Profile), Hunters Hill LGA</t>
        </is>
      </c>
      <c r="B51" s="10" t="inlineStr">
        <is>
          <t>Five-year-olds</t>
        </is>
      </c>
    </row>
    <row r="52" ht="16" customHeight="1">
      <c r="A52" s="13" t="inlineStr">
        <is>
          <t>ABS 2016 Census community profiles (General Community Profile), North Sydney LGA</t>
        </is>
      </c>
      <c r="B52" s="10" t="inlineStr">
        <is>
          <t>Five-year-olds</t>
        </is>
      </c>
    </row>
    <row r="53" ht="16" customHeight="1">
      <c r="A53" s="13" t="inlineStr">
        <is>
          <t>ABS 2016 Census community profiles (General Community Profile), Mosman LGA</t>
        </is>
      </c>
      <c r="B53" s="10" t="inlineStr">
        <is>
          <t>Five-year-olds</t>
        </is>
      </c>
    </row>
    <row r="54" ht="16" customHeight="1">
      <c r="A54" s="13" t="inlineStr">
        <is>
          <t>ABS 2016 Census community profiles (General Community Profile), Ryde LGA</t>
        </is>
      </c>
      <c r="B54" s="10" t="inlineStr">
        <is>
          <t>Five-year-olds</t>
        </is>
      </c>
    </row>
    <row r="55" ht="16" customHeight="1">
      <c r="A55" s="13" t="inlineStr">
        <is>
          <t>ABS 2016 Census community profiles (General Community Profile), Greater Sydney</t>
        </is>
      </c>
      <c r="B55" s="10" t="inlineStr">
        <is>
          <t>Five-year-olds</t>
        </is>
      </c>
    </row>
    <row r="56" ht="16" customHeight="1">
      <c r="A56" s="13" t="inlineStr">
        <is>
          <t>ABS 2021 Census community profiles (General Community Profile), Greater Sydney</t>
        </is>
      </c>
      <c r="B56" s="10" t="inlineStr">
        <is>
          <t>Five-year-olds</t>
        </is>
      </c>
    </row>
    <row r="57" ht="42" customHeight="1">
      <c r="A57" s="13" t="inlineStr">
        <is>
          <t>NSW Department of Education: Enrolment in Kindergarten to Year 12 procedures (version history: 'enrolment cap' changed to 'enrolment availability', 22 January 2026)</t>
        </is>
      </c>
      <c r="B57" s="10" t="inlineStr">
        <is>
          <t>Cited in the article; no figure on these sheets comes from it.</t>
        </is>
      </c>
    </row>
  </sheetData>
  <hyperlinks>
    <hyperlink xmlns:r="http://schemas.openxmlformats.org/officeDocument/2006/relationships" ref="A6" r:id="rId1"/>
    <hyperlink xmlns:r="http://schemas.openxmlformats.org/officeDocument/2006/relationships" ref="A7" r:id="rId2"/>
    <hyperlink xmlns:r="http://schemas.openxmlformats.org/officeDocument/2006/relationships" ref="A8" r:id="rId3"/>
    <hyperlink xmlns:r="http://schemas.openxmlformats.org/officeDocument/2006/relationships" ref="A9" r:id="rId4"/>
    <hyperlink xmlns:r="http://schemas.openxmlformats.org/officeDocument/2006/relationships" ref="A10" r:id="rId5"/>
    <hyperlink xmlns:r="http://schemas.openxmlformats.org/officeDocument/2006/relationships" ref="A11" r:id="rId6"/>
    <hyperlink xmlns:r="http://schemas.openxmlformats.org/officeDocument/2006/relationships" ref="A12" r:id="rId7"/>
    <hyperlink xmlns:r="http://schemas.openxmlformats.org/officeDocument/2006/relationships" ref="A13" r:id="rId8"/>
    <hyperlink xmlns:r="http://schemas.openxmlformats.org/officeDocument/2006/relationships" ref="A14" r:id="rId9"/>
    <hyperlink xmlns:r="http://schemas.openxmlformats.org/officeDocument/2006/relationships" ref="A15" r:id="rId10"/>
    <hyperlink xmlns:r="http://schemas.openxmlformats.org/officeDocument/2006/relationships" ref="A16" r:id="rId11"/>
    <hyperlink xmlns:r="http://schemas.openxmlformats.org/officeDocument/2006/relationships" ref="A17" r:id="rId12"/>
    <hyperlink xmlns:r="http://schemas.openxmlformats.org/officeDocument/2006/relationships" ref="A18" r:id="rId13"/>
    <hyperlink xmlns:r="http://schemas.openxmlformats.org/officeDocument/2006/relationships" ref="A19" r:id="rId14"/>
    <hyperlink xmlns:r="http://schemas.openxmlformats.org/officeDocument/2006/relationships" ref="A20" r:id="rId15"/>
    <hyperlink xmlns:r="http://schemas.openxmlformats.org/officeDocument/2006/relationships" ref="A21" r:id="rId16"/>
    <hyperlink xmlns:r="http://schemas.openxmlformats.org/officeDocument/2006/relationships" ref="A22" r:id="rId17"/>
    <hyperlink xmlns:r="http://schemas.openxmlformats.org/officeDocument/2006/relationships" ref="A23" r:id="rId18"/>
    <hyperlink xmlns:r="http://schemas.openxmlformats.org/officeDocument/2006/relationships" ref="A24" r:id="rId19"/>
    <hyperlink xmlns:r="http://schemas.openxmlformats.org/officeDocument/2006/relationships" ref="A27" r:id="rId20"/>
    <hyperlink xmlns:r="http://schemas.openxmlformats.org/officeDocument/2006/relationships" ref="A28" r:id="rId21"/>
    <hyperlink xmlns:r="http://schemas.openxmlformats.org/officeDocument/2006/relationships" ref="A29" r:id="rId22"/>
    <hyperlink xmlns:r="http://schemas.openxmlformats.org/officeDocument/2006/relationships" ref="A30" r:id="rId23"/>
    <hyperlink xmlns:r="http://schemas.openxmlformats.org/officeDocument/2006/relationships" ref="A31" r:id="rId24"/>
    <hyperlink xmlns:r="http://schemas.openxmlformats.org/officeDocument/2006/relationships" ref="A32" r:id="rId25"/>
    <hyperlink xmlns:r="http://schemas.openxmlformats.org/officeDocument/2006/relationships" ref="A33" r:id="rId26"/>
    <hyperlink xmlns:r="http://schemas.openxmlformats.org/officeDocument/2006/relationships" ref="A34" r:id="rId27"/>
    <hyperlink xmlns:r="http://schemas.openxmlformats.org/officeDocument/2006/relationships" ref="A35" r:id="rId28"/>
    <hyperlink xmlns:r="http://schemas.openxmlformats.org/officeDocument/2006/relationships" ref="A36" r:id="rId29"/>
    <hyperlink xmlns:r="http://schemas.openxmlformats.org/officeDocument/2006/relationships" ref="A37" r:id="rId30"/>
    <hyperlink xmlns:r="http://schemas.openxmlformats.org/officeDocument/2006/relationships" ref="A38" r:id="rId31"/>
    <hyperlink xmlns:r="http://schemas.openxmlformats.org/officeDocument/2006/relationships" ref="A41" r:id="rId32"/>
    <hyperlink xmlns:r="http://schemas.openxmlformats.org/officeDocument/2006/relationships" ref="A42" r:id="rId33"/>
    <hyperlink xmlns:r="http://schemas.openxmlformats.org/officeDocument/2006/relationships" ref="A43" r:id="rId34"/>
    <hyperlink xmlns:r="http://schemas.openxmlformats.org/officeDocument/2006/relationships" ref="A44" r:id="rId35"/>
    <hyperlink xmlns:r="http://schemas.openxmlformats.org/officeDocument/2006/relationships" ref="A45" r:id="rId36"/>
    <hyperlink xmlns:r="http://schemas.openxmlformats.org/officeDocument/2006/relationships" ref="A46" r:id="rId37"/>
    <hyperlink xmlns:r="http://schemas.openxmlformats.org/officeDocument/2006/relationships" ref="A47" r:id="rId38"/>
    <hyperlink xmlns:r="http://schemas.openxmlformats.org/officeDocument/2006/relationships" ref="A48" r:id="rId39"/>
    <hyperlink xmlns:r="http://schemas.openxmlformats.org/officeDocument/2006/relationships" ref="A49" r:id="rId40"/>
    <hyperlink xmlns:r="http://schemas.openxmlformats.org/officeDocument/2006/relationships" ref="A50" r:id="rId41"/>
    <hyperlink xmlns:r="http://schemas.openxmlformats.org/officeDocument/2006/relationships" ref="A51" r:id="rId42"/>
    <hyperlink xmlns:r="http://schemas.openxmlformats.org/officeDocument/2006/relationships" ref="A52" r:id="rId43"/>
    <hyperlink xmlns:r="http://schemas.openxmlformats.org/officeDocument/2006/relationships" ref="A53" r:id="rId44"/>
    <hyperlink xmlns:r="http://schemas.openxmlformats.org/officeDocument/2006/relationships" ref="A54" r:id="rId45"/>
    <hyperlink xmlns:r="http://schemas.openxmlformats.org/officeDocument/2006/relationships" ref="A55" r:id="rId46"/>
    <hyperlink xmlns:r="http://schemas.openxmlformats.org/officeDocument/2006/relationships" ref="A56" r:id="rId47"/>
    <hyperlink xmlns:r="http://schemas.openxmlformats.org/officeDocument/2006/relationships" ref="A57" r:id="rId48"/>
  </hyperlinks>
  <printOptions gridLines="0"/>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 the Cove</dc:creator>
  <dc:title xmlns:dc="http://purl.org/dc/elements/1.1/">Lane Cove schools, Part 2: data appendix</dc:title>
  <dcterms:created xmlns:dcterms="http://purl.org/dc/terms/" xmlns:xsi="http://www.w3.org/2001/XMLSchema-instance" xsi:type="dcterms:W3CDTF">2026-10-26T09:58:51Z</dcterms:created>
  <dcterms:modified xmlns:dcterms="http://purl.org/dc/terms/" xmlns:xsi="http://www.w3.org/2001/XMLSchema-instance" xsi:type="dcterms:W3CDTF">2026-10-26T09:58:55Z</dcterms:modified>
  <cp:lastModifiedBy>In the Cove</cp:lastModifiedBy>
</cp:coreProperties>
</file>